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1075" windowHeight="9525"/>
  </bookViews>
  <sheets>
    <sheet name="Joseph Floyd SaaS Dashboard" sheetId="1" r:id="rId1"/>
  </sheets>
  <externalReferences>
    <externalReference r:id="rId2"/>
  </externalReferences>
  <definedNames>
    <definedName name="_BQ4.1" hidden="1">#REF!</definedName>
    <definedName name="_xlnm._FilterDatabase" localSheetId="0" hidden="1">'Joseph Floyd SaaS Dashboard'!$B$34:$B$35</definedName>
    <definedName name="_Order1" hidden="1">0</definedName>
    <definedName name="_Order2" hidden="1">0</definedName>
    <definedName name="Analysis_Chart5">OFFSET('[1]Benchmarking Tool'!$BX$17,0,0,'[1]Benchmarking Tool'!$BX$16,)</definedName>
    <definedName name="Analysis_Chart5_Highlight">OFFSET('[1]Benchmarking Tool'!$BW$17,0,0,'[1]Benchmarking Tool'!$BX$16,)</definedName>
    <definedName name="Analysis_Chart5_Names">OFFSET('[1]Benchmarking Tool'!$BM$17,0,0,'[1]Benchmarking Tool'!$BX$16,)</definedName>
    <definedName name="bb" hidden="1">#REF!</definedName>
    <definedName name="Chart_2">OFFSET('[1]Benchmarking Tool'!$BM$66,0,0,'[1]Benchmarking Tool'!$BV$65,8)</definedName>
    <definedName name="Chart_2_Names">OFFSET('[1]Benchmarking Tool'!$BM$66,0,0,'[1]Benchmarking Tool'!$BV$65,)</definedName>
    <definedName name="ITEM">'[1]Benchmarking Tool'!$E$3</definedName>
    <definedName name="OVERITEM">'[1]Benchmarking Tool'!$I$3</definedName>
    <definedName name="SAPBEXrevision" hidden="1">39</definedName>
    <definedName name="SAPBEXsysID" hidden="1">"BWP"</definedName>
    <definedName name="SAPBEXwbID" hidden="1">"3RZ1TJM3IRTRR8L5B1M6WU6J8"</definedName>
    <definedName name="w" hidden="1">#REF!</definedName>
  </definedNames>
  <calcPr calcId="144525" concurrentCalc="0"/>
</workbook>
</file>

<file path=xl/calcChain.xml><?xml version="1.0" encoding="utf-8"?>
<calcChain xmlns="http://schemas.openxmlformats.org/spreadsheetml/2006/main">
  <c r="S24" i="1" l="1"/>
  <c r="R24" i="1"/>
  <c r="Q24" i="1"/>
  <c r="N24" i="1"/>
  <c r="M24" i="1"/>
  <c r="L24" i="1"/>
  <c r="K24" i="1"/>
  <c r="J24" i="1"/>
  <c r="I24" i="1"/>
  <c r="H24" i="1"/>
  <c r="G24" i="1"/>
  <c r="F24" i="1"/>
  <c r="E24" i="1"/>
  <c r="D24" i="1"/>
  <c r="C24" i="1"/>
  <c r="D29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J23" i="1"/>
  <c r="I23" i="1"/>
  <c r="H23" i="1"/>
  <c r="G23" i="1"/>
  <c r="N23" i="1"/>
  <c r="M23" i="1"/>
  <c r="L23" i="1"/>
  <c r="K23" i="1"/>
  <c r="F23" i="1"/>
  <c r="E23" i="1"/>
  <c r="D23" i="1"/>
  <c r="C23" i="1"/>
  <c r="Q29" i="1"/>
  <c r="Q27" i="1"/>
  <c r="R28" i="1"/>
  <c r="Q30" i="1"/>
  <c r="Q41" i="1"/>
  <c r="Q40" i="1"/>
  <c r="C41" i="1"/>
  <c r="S59" i="1"/>
  <c r="R59" i="1"/>
  <c r="Q59" i="1"/>
  <c r="S58" i="1"/>
  <c r="R58" i="1"/>
  <c r="Q58" i="1"/>
  <c r="M64" i="1"/>
  <c r="S74" i="1"/>
  <c r="R74" i="1"/>
  <c r="Q74" i="1"/>
  <c r="S15" i="1"/>
  <c r="Q13" i="1"/>
  <c r="Q14" i="1"/>
  <c r="Q15" i="1"/>
  <c r="Q16" i="1"/>
  <c r="R13" i="1"/>
  <c r="R14" i="1"/>
  <c r="R15" i="1"/>
  <c r="R16" i="1"/>
  <c r="S13" i="1"/>
  <c r="S39" i="1"/>
  <c r="R39" i="1"/>
  <c r="Q39" i="1"/>
  <c r="S52" i="1"/>
  <c r="S53" i="1"/>
  <c r="S54" i="1"/>
  <c r="S60" i="1"/>
  <c r="S62" i="1"/>
  <c r="S67" i="1"/>
  <c r="S68" i="1"/>
  <c r="S69" i="1"/>
  <c r="S70" i="1"/>
  <c r="S72" i="1"/>
  <c r="R52" i="1"/>
  <c r="R53" i="1"/>
  <c r="R54" i="1"/>
  <c r="R60" i="1"/>
  <c r="R62" i="1"/>
  <c r="R67" i="1"/>
  <c r="R68" i="1"/>
  <c r="R69" i="1"/>
  <c r="R70" i="1"/>
  <c r="R72" i="1"/>
  <c r="Q52" i="1"/>
  <c r="Q53" i="1"/>
  <c r="Q54" i="1"/>
  <c r="Q60" i="1"/>
  <c r="Q62" i="1"/>
  <c r="Q67" i="1"/>
  <c r="Q68" i="1"/>
  <c r="Q69" i="1"/>
  <c r="Q70" i="1"/>
  <c r="Q72" i="1"/>
  <c r="S64" i="1"/>
  <c r="R64" i="1"/>
  <c r="Q64" i="1"/>
  <c r="S63" i="1"/>
  <c r="R63" i="1"/>
  <c r="Q63" i="1"/>
  <c r="S55" i="1"/>
  <c r="R55" i="1"/>
  <c r="S28" i="1"/>
  <c r="S14" i="1"/>
  <c r="S35" i="1"/>
  <c r="S29" i="1"/>
  <c r="R29" i="1"/>
  <c r="R30" i="1"/>
  <c r="S44" i="1"/>
  <c r="R35" i="1"/>
  <c r="R44" i="1"/>
  <c r="S45" i="1"/>
  <c r="R45" i="1"/>
  <c r="Q42" i="1"/>
  <c r="Q44" i="1"/>
  <c r="S19" i="1"/>
  <c r="S43" i="1"/>
  <c r="R19" i="1"/>
  <c r="R43" i="1"/>
  <c r="C64" i="1"/>
  <c r="C40" i="1"/>
  <c r="C42" i="1"/>
  <c r="C44" i="1"/>
  <c r="C39" i="1"/>
  <c r="S34" i="1"/>
  <c r="R34" i="1"/>
  <c r="S30" i="1"/>
  <c r="S20" i="1"/>
  <c r="S21" i="1"/>
  <c r="S22" i="1"/>
  <c r="S23" i="1"/>
  <c r="R20" i="1"/>
  <c r="R21" i="1"/>
  <c r="R22" i="1"/>
  <c r="R23" i="1"/>
  <c r="Q20" i="1"/>
  <c r="Q21" i="1"/>
  <c r="Q22" i="1"/>
  <c r="S16" i="1"/>
  <c r="N54" i="1"/>
  <c r="N60" i="1"/>
  <c r="N62" i="1"/>
  <c r="N70" i="1"/>
  <c r="N72" i="1"/>
  <c r="M54" i="1"/>
  <c r="M60" i="1"/>
  <c r="M62" i="1"/>
  <c r="M70" i="1"/>
  <c r="M72" i="1"/>
  <c r="L54" i="1"/>
  <c r="L60" i="1"/>
  <c r="L62" i="1"/>
  <c r="L70" i="1"/>
  <c r="L72" i="1"/>
  <c r="K54" i="1"/>
  <c r="K60" i="1"/>
  <c r="K62" i="1"/>
  <c r="K70" i="1"/>
  <c r="K72" i="1"/>
  <c r="J54" i="1"/>
  <c r="J60" i="1"/>
  <c r="J62" i="1"/>
  <c r="J70" i="1"/>
  <c r="J72" i="1"/>
  <c r="I54" i="1"/>
  <c r="I60" i="1"/>
  <c r="I62" i="1"/>
  <c r="I70" i="1"/>
  <c r="I72" i="1"/>
  <c r="H54" i="1"/>
  <c r="H60" i="1"/>
  <c r="H62" i="1"/>
  <c r="H70" i="1"/>
  <c r="H72" i="1"/>
  <c r="G54" i="1"/>
  <c r="G60" i="1"/>
  <c r="G62" i="1"/>
  <c r="G70" i="1"/>
  <c r="G72" i="1"/>
  <c r="F54" i="1"/>
  <c r="F60" i="1"/>
  <c r="F62" i="1"/>
  <c r="F70" i="1"/>
  <c r="F72" i="1"/>
  <c r="E54" i="1"/>
  <c r="E60" i="1"/>
  <c r="E62" i="1"/>
  <c r="E70" i="1"/>
  <c r="E72" i="1"/>
  <c r="D54" i="1"/>
  <c r="D60" i="1"/>
  <c r="D62" i="1"/>
  <c r="D70" i="1"/>
  <c r="D72" i="1"/>
  <c r="C54" i="1"/>
  <c r="C60" i="1"/>
  <c r="C62" i="1"/>
  <c r="C70" i="1"/>
  <c r="C72" i="1"/>
  <c r="N64" i="1"/>
  <c r="L64" i="1"/>
  <c r="K64" i="1"/>
  <c r="J64" i="1"/>
  <c r="I64" i="1"/>
  <c r="H64" i="1"/>
  <c r="G64" i="1"/>
  <c r="F64" i="1"/>
  <c r="E64" i="1"/>
  <c r="D64" i="1"/>
  <c r="N63" i="1"/>
  <c r="M63" i="1"/>
  <c r="L63" i="1"/>
  <c r="K63" i="1"/>
  <c r="J63" i="1"/>
  <c r="I63" i="1"/>
  <c r="H63" i="1"/>
  <c r="G63" i="1"/>
  <c r="F63" i="1"/>
  <c r="E63" i="1"/>
  <c r="D63" i="1"/>
  <c r="C63" i="1"/>
  <c r="D55" i="1"/>
  <c r="N55" i="1"/>
  <c r="M55" i="1"/>
  <c r="L55" i="1"/>
  <c r="K55" i="1"/>
  <c r="J55" i="1"/>
  <c r="I55" i="1"/>
  <c r="H55" i="1"/>
  <c r="G55" i="1"/>
  <c r="F55" i="1"/>
  <c r="E55" i="1"/>
  <c r="N44" i="1"/>
  <c r="N45" i="1"/>
  <c r="M44" i="1"/>
  <c r="M45" i="1"/>
  <c r="L44" i="1"/>
  <c r="L45" i="1"/>
  <c r="K44" i="1"/>
  <c r="K45" i="1"/>
  <c r="J44" i="1"/>
  <c r="J45" i="1"/>
  <c r="I44" i="1"/>
  <c r="I45" i="1"/>
  <c r="H44" i="1"/>
  <c r="H45" i="1"/>
  <c r="G44" i="1"/>
  <c r="G45" i="1"/>
  <c r="F44" i="1"/>
  <c r="F45" i="1"/>
  <c r="E44" i="1"/>
  <c r="E45" i="1"/>
  <c r="D44" i="1"/>
  <c r="D45" i="1"/>
  <c r="N43" i="1"/>
  <c r="M43" i="1"/>
  <c r="L43" i="1"/>
  <c r="K43" i="1"/>
  <c r="J43" i="1"/>
  <c r="I43" i="1"/>
  <c r="H43" i="1"/>
  <c r="G43" i="1"/>
  <c r="F43" i="1"/>
  <c r="E43" i="1"/>
  <c r="D43" i="1"/>
  <c r="C16" i="1"/>
  <c r="D13" i="1"/>
  <c r="D16" i="1"/>
  <c r="E13" i="1"/>
  <c r="E16" i="1"/>
  <c r="F13" i="1"/>
  <c r="F16" i="1"/>
  <c r="G13" i="1"/>
  <c r="G16" i="1"/>
  <c r="H13" i="1"/>
  <c r="H16" i="1"/>
  <c r="I13" i="1"/>
  <c r="I16" i="1"/>
  <c r="J13" i="1"/>
  <c r="J16" i="1"/>
  <c r="K13" i="1"/>
  <c r="K16" i="1"/>
  <c r="L13" i="1"/>
  <c r="L16" i="1"/>
  <c r="M13" i="1"/>
  <c r="M16" i="1"/>
  <c r="N39" i="1"/>
  <c r="M39" i="1"/>
  <c r="L39" i="1"/>
  <c r="K39" i="1"/>
  <c r="J39" i="1"/>
  <c r="I39" i="1"/>
  <c r="H39" i="1"/>
  <c r="G39" i="1"/>
  <c r="F39" i="1"/>
  <c r="E39" i="1"/>
  <c r="D39" i="1"/>
  <c r="N13" i="1"/>
  <c r="N16" i="1"/>
  <c r="Q3" i="1"/>
  <c r="R3" i="1"/>
  <c r="S3" i="1"/>
  <c r="C7" i="1"/>
  <c r="C3" i="1"/>
  <c r="D3" i="1"/>
  <c r="E3" i="1"/>
  <c r="F3" i="1"/>
  <c r="G7" i="1"/>
  <c r="G3" i="1"/>
  <c r="H3" i="1"/>
  <c r="I3" i="1"/>
  <c r="J3" i="1"/>
  <c r="K7" i="1"/>
  <c r="K3" i="1"/>
  <c r="L3" i="1"/>
  <c r="M3" i="1"/>
  <c r="N3" i="1"/>
  <c r="Q8" i="1"/>
  <c r="R8" i="1"/>
  <c r="S8" i="1"/>
  <c r="C5" i="1"/>
  <c r="Q28" i="1"/>
  <c r="Q31" i="1"/>
  <c r="R27" i="1"/>
  <c r="R31" i="1"/>
  <c r="S27" i="1"/>
  <c r="S41" i="1"/>
  <c r="R41" i="1"/>
  <c r="C31" i="1"/>
  <c r="D27" i="1"/>
  <c r="D31" i="1"/>
  <c r="E27" i="1"/>
  <c r="E31" i="1"/>
  <c r="F27" i="1"/>
  <c r="F31" i="1"/>
  <c r="G27" i="1"/>
  <c r="G31" i="1"/>
  <c r="H27" i="1"/>
  <c r="H31" i="1"/>
  <c r="I27" i="1"/>
  <c r="I31" i="1"/>
  <c r="J27" i="1"/>
  <c r="J31" i="1"/>
  <c r="K27" i="1"/>
  <c r="K31" i="1"/>
  <c r="L27" i="1"/>
  <c r="L31" i="1"/>
  <c r="M27" i="1"/>
  <c r="M31" i="1"/>
  <c r="N27" i="1"/>
  <c r="N41" i="1"/>
  <c r="M41" i="1"/>
  <c r="L41" i="1"/>
  <c r="K41" i="1"/>
  <c r="J41" i="1"/>
  <c r="I41" i="1"/>
  <c r="H41" i="1"/>
  <c r="G41" i="1"/>
  <c r="F41" i="1"/>
  <c r="E41" i="1"/>
  <c r="D41" i="1"/>
  <c r="S40" i="1"/>
  <c r="S42" i="1"/>
  <c r="S46" i="1"/>
  <c r="S47" i="1"/>
  <c r="R40" i="1"/>
  <c r="R42" i="1"/>
  <c r="R46" i="1"/>
  <c r="R47" i="1"/>
  <c r="Q35" i="1"/>
  <c r="Q46" i="1"/>
  <c r="Q47" i="1"/>
  <c r="Q45" i="1"/>
  <c r="C46" i="1"/>
  <c r="C47" i="1"/>
  <c r="S31" i="1"/>
  <c r="S32" i="1"/>
  <c r="R32" i="1"/>
  <c r="Q32" i="1"/>
  <c r="C45" i="1"/>
  <c r="N40" i="1"/>
  <c r="N42" i="1"/>
  <c r="N46" i="1"/>
  <c r="N47" i="1"/>
  <c r="M40" i="1"/>
  <c r="M42" i="1"/>
  <c r="M46" i="1"/>
  <c r="M47" i="1"/>
  <c r="L40" i="1"/>
  <c r="L42" i="1"/>
  <c r="L46" i="1"/>
  <c r="L47" i="1"/>
  <c r="K40" i="1"/>
  <c r="K42" i="1"/>
  <c r="K46" i="1"/>
  <c r="K47" i="1"/>
  <c r="J40" i="1"/>
  <c r="J42" i="1"/>
  <c r="J46" i="1"/>
  <c r="J47" i="1"/>
  <c r="I40" i="1"/>
  <c r="I42" i="1"/>
  <c r="I46" i="1"/>
  <c r="I47" i="1"/>
  <c r="H40" i="1"/>
  <c r="H42" i="1"/>
  <c r="H46" i="1"/>
  <c r="H47" i="1"/>
  <c r="G40" i="1"/>
  <c r="G42" i="1"/>
  <c r="G46" i="1"/>
  <c r="G47" i="1"/>
  <c r="F40" i="1"/>
  <c r="F42" i="1"/>
  <c r="F46" i="1"/>
  <c r="F47" i="1"/>
  <c r="E40" i="1"/>
  <c r="E42" i="1"/>
  <c r="E46" i="1"/>
  <c r="E47" i="1"/>
  <c r="D40" i="1"/>
  <c r="D42" i="1"/>
  <c r="D46" i="1"/>
  <c r="D47" i="1"/>
  <c r="N31" i="1"/>
  <c r="N32" i="1"/>
  <c r="M32" i="1"/>
  <c r="L32" i="1"/>
  <c r="K32" i="1"/>
  <c r="J32" i="1"/>
  <c r="I32" i="1"/>
  <c r="H32" i="1"/>
  <c r="G32" i="1"/>
  <c r="F32" i="1"/>
  <c r="E32" i="1"/>
  <c r="D32" i="1"/>
  <c r="C32" i="1"/>
  <c r="Q19" i="1"/>
  <c r="Q43" i="1"/>
  <c r="Q34" i="1"/>
  <c r="Q23" i="1"/>
  <c r="C43" i="1"/>
</calcChain>
</file>

<file path=xl/sharedStrings.xml><?xml version="1.0" encoding="utf-8"?>
<sst xmlns="http://schemas.openxmlformats.org/spreadsheetml/2006/main" count="67" uniqueCount="59">
  <si>
    <t>Annual</t>
  </si>
  <si>
    <t>($ in 000s)</t>
  </si>
  <si>
    <t>Q1</t>
  </si>
  <si>
    <t>Q2</t>
  </si>
  <si>
    <t>Q3</t>
  </si>
  <si>
    <t>Q4</t>
  </si>
  <si>
    <t>SaaS Metrics</t>
  </si>
  <si>
    <t>Bookings</t>
  </si>
  <si>
    <t>MRR</t>
  </si>
  <si>
    <t>New ACV per New Customer</t>
  </si>
  <si>
    <t>MRR per New Customer</t>
  </si>
  <si>
    <t>Unit Economics</t>
  </si>
  <si>
    <t>Life In Months</t>
  </si>
  <si>
    <t>S&amp;M Efficiency (New ACV)</t>
  </si>
  <si>
    <t>Customer Acquisition Cost</t>
  </si>
  <si>
    <t>Months to Payback (MRR)</t>
  </si>
  <si>
    <t>CLV (MRR)</t>
  </si>
  <si>
    <t>CLV (MRR) to CAC</t>
  </si>
  <si>
    <t>Financial Metrics</t>
  </si>
  <si>
    <t>Revenue</t>
  </si>
  <si>
    <t>Growth</t>
  </si>
  <si>
    <t>COGS</t>
  </si>
  <si>
    <t>Gross Margin</t>
  </si>
  <si>
    <t>Subscription GM</t>
  </si>
  <si>
    <t>Expenses</t>
  </si>
  <si>
    <t>New ACV Bookings</t>
  </si>
  <si>
    <t>Upsell ACV Bookings</t>
  </si>
  <si>
    <t>Renewal ACV Bookings</t>
  </si>
  <si>
    <t>Total Bookings</t>
  </si>
  <si>
    <t>Beginning MRR</t>
  </si>
  <si>
    <t>New MRR</t>
  </si>
  <si>
    <t>Churned MRR</t>
  </si>
  <si>
    <t>Expansion MRR</t>
  </si>
  <si>
    <t>Ending MRR</t>
  </si>
  <si>
    <t>Ending ARR</t>
  </si>
  <si>
    <t>Total Revenue</t>
  </si>
  <si>
    <t>Total COGS</t>
  </si>
  <si>
    <t>Gross Profit</t>
  </si>
  <si>
    <t>Total Expenses</t>
  </si>
  <si>
    <t>Operating Income</t>
  </si>
  <si>
    <t>Company Name</t>
  </si>
  <si>
    <t>Customers</t>
  </si>
  <si>
    <t>Beginning Customers</t>
  </si>
  <si>
    <t>New Customers</t>
  </si>
  <si>
    <t>Churned Customers</t>
  </si>
  <si>
    <t>Ending Customers</t>
  </si>
  <si>
    <t>Professional Services Bookings</t>
  </si>
  <si>
    <t>Subscription Revenue</t>
  </si>
  <si>
    <t>Professional Services Revenue</t>
  </si>
  <si>
    <t>Professional Services COGS</t>
  </si>
  <si>
    <t>Subscription COGS</t>
  </si>
  <si>
    <t>Sales &amp; Marketing</t>
  </si>
  <si>
    <t>Research &amp; Development</t>
  </si>
  <si>
    <t>General &amp; Administrative</t>
  </si>
  <si>
    <t>Annual Customer Churn</t>
  </si>
  <si>
    <t>Annual MRR Churn</t>
  </si>
  <si>
    <t>Annual Net MRR Churn</t>
  </si>
  <si>
    <t>Cash Balance</t>
  </si>
  <si>
    <t>Total Subscription Bookings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</si>
</sst>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-* #,##0.00\ [$€]_-;\-* #,##0.00\ [$€]_-;_-* &quot;-&quot;??\ [$€]_-;_-@_-"/>
    <numFmt numFmtId="166" formatCode="#,##0_)\b\p;\(#,##0\ \b\p\);#,##0_)\b\p;@_)"/>
    <numFmt numFmtId="167" formatCode="#,##0.00\ ;[Red]\-#,##0.00\ "/>
    <numFmt numFmtId="168" formatCode="#,##0.0\ ;[Red]\-#,##0.0\ "/>
    <numFmt numFmtId="169" formatCode="&quot;$&quot;#,##0_);[Red]\(&quot;$&quot;#,##0\);&quot;-&quot;"/>
    <numFmt numFmtId="170" formatCode="#,##0;\(#,##0\)"/>
    <numFmt numFmtId="171" formatCode="0.000_)"/>
    <numFmt numFmtId="172" formatCode="#,##0.0;[Red]\-#,##0.0"/>
    <numFmt numFmtId="173" formatCode="#\ ##0.0"/>
    <numFmt numFmtId="174" formatCode="#,##0_ ;\(#,##0\)"/>
    <numFmt numFmtId="175" formatCode="#,##0_-;\(#,##0\)"/>
    <numFmt numFmtId="176" formatCode="#,##0.0_);\(#,##0.0\);#,##0.0_);@_)"/>
    <numFmt numFmtId="177" formatCode="[$€]#,##0.00_);\([$€]#,##0.00\);[$€]#,##0.00_);@_)"/>
    <numFmt numFmtId="178" formatCode="d\-mmm\-yyyy"/>
    <numFmt numFmtId="179" formatCode="#,##0_);\(#,##0\);#,##0_);@_)"/>
    <numFmt numFmtId="180" formatCode="#,##0.0\x_);\(#,##0.0\x\);#,##0.0\x_);@_)"/>
    <numFmt numFmtId="181" formatCode="General_)"/>
    <numFmt numFmtId="182" formatCode="0.0%_);\(0.0%\);0.0%_);@_)"/>
    <numFmt numFmtId="183" formatCode="#,##0.0%_);\(#,##0.0%\)"/>
    <numFmt numFmtId="184" formatCode="#,##0.0\ \x;\(#,##0.0\)\x"/>
    <numFmt numFmtId="185" formatCode="yyyy\-mm\-dd;@"/>
    <numFmt numFmtId="186" formatCode="0.0"/>
    <numFmt numFmtId="187" formatCode="0.0000"/>
    <numFmt numFmtId="188" formatCode="0.0000%"/>
    <numFmt numFmtId="189" formatCode="0.0%"/>
    <numFmt numFmtId="190" formatCode="#,##0.000000;\(#,##0.000000\)"/>
    <numFmt numFmtId="191" formatCode="#,##0.0&quot; x&quot;_);\(#,##0.0&quot; x&quot;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.0\x_);\(#,##0.0\x\)"/>
    <numFmt numFmtId="195" formatCode="0.0\x;\(0.0\x\)"/>
    <numFmt numFmtId="196" formatCode="&quot;€&quot;#,##0.0\x"/>
    <numFmt numFmtId="197" formatCode="0.0000000000"/>
    <numFmt numFmtId="198" formatCode="#,##0.0\%_);\(#,##0.0\%\);#,##0.0\%_);@_)"/>
    <numFmt numFmtId="199" formatCode="0.0%;\(0.0\)%"/>
    <numFmt numFmtId="200" formatCode="&quot;Yes&quot;;[Red]&quot;No&quot;"/>
    <numFmt numFmtId="201" formatCode="0.00000"/>
    <numFmt numFmtId="202" formatCode="[&gt;0]General"/>
    <numFmt numFmtId="203" formatCode="0.000000000000000%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name val="Tms Rmn"/>
    </font>
    <font>
      <sz val="10"/>
      <color indexed="6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name val="Trebuchet MS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8"/>
      <color indexed="25"/>
      <name val="Helvetica Black"/>
    </font>
    <font>
      <sz val="11"/>
      <color indexed="20"/>
      <name val="Calibri"/>
      <family val="2"/>
    </font>
    <font>
      <sz val="8"/>
      <color indexed="59"/>
      <name val="Arial"/>
      <family val="2"/>
    </font>
    <font>
      <sz val="8"/>
      <color indexed="24"/>
      <name val="Arial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62"/>
      <name val="Arial"/>
      <family val="2"/>
    </font>
    <font>
      <sz val="10"/>
      <name val="CompatilFact LT Regular"/>
    </font>
    <font>
      <sz val="10"/>
      <name val="MS Sans Serif"/>
      <family val="2"/>
    </font>
    <font>
      <sz val="10"/>
      <name val="Verdana"/>
      <family val="2"/>
    </font>
    <font>
      <i/>
      <sz val="10"/>
      <name val="Helv"/>
    </font>
    <font>
      <b/>
      <sz val="26"/>
      <name val="Trebuchet MS"/>
      <family val="2"/>
    </font>
    <font>
      <b/>
      <sz val="18"/>
      <name val="Trebuchet MS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6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name val="Trebuchet MS"/>
      <family val="2"/>
    </font>
    <font>
      <b/>
      <sz val="14"/>
      <color indexed="24"/>
      <name val="Trebuchet MS"/>
      <family val="2"/>
    </font>
    <font>
      <b/>
      <sz val="24"/>
      <name val="Trebuchet MS"/>
      <family val="2"/>
    </font>
    <font>
      <sz val="7"/>
      <name val="Trebuchet MS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44"/>
      <name val="Cambria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3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dotted">
        <color theme="3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2"/>
      </left>
      <right style="hair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1"/>
      </top>
      <bottom/>
      <diagonal/>
    </border>
  </borders>
  <cellStyleXfs count="613">
    <xf numFmtId="0" fontId="0" fillId="0" borderId="0"/>
    <xf numFmtId="9" fontId="1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65" fontId="9" fillId="0" borderId="0">
      <alignment horizontal="left" wrapText="1"/>
    </xf>
    <xf numFmtId="165" fontId="9" fillId="0" borderId="0">
      <alignment horizontal="left" wrapText="1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65" fontId="9" fillId="0" borderId="0">
      <alignment horizontal="left" wrapText="1"/>
    </xf>
    <xf numFmtId="165" fontId="9" fillId="0" borderId="0"/>
    <xf numFmtId="165" fontId="9" fillId="0" borderId="0">
      <alignment horizontal="left" wrapText="1"/>
    </xf>
    <xf numFmtId="165" fontId="9" fillId="0" borderId="0">
      <alignment horizontal="left" wrapText="1"/>
    </xf>
    <xf numFmtId="165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5" borderId="0" applyNumberFormat="0" applyFont="0" applyAlignment="0" applyProtection="0"/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 applyNumberFormat="0" applyFill="0" applyBorder="0" applyAlignment="0" applyProtection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>
      <alignment horizontal="left" wrapText="1"/>
    </xf>
    <xf numFmtId="165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65" fontId="9" fillId="0" borderId="0"/>
    <xf numFmtId="165" fontId="9" fillId="0" borderId="0"/>
    <xf numFmtId="165" fontId="9" fillId="0" borderId="0">
      <alignment horizontal="left" wrapText="1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65" fontId="9" fillId="0" borderId="0">
      <alignment horizontal="left" wrapText="1"/>
    </xf>
    <xf numFmtId="165" fontId="9" fillId="0" borderId="0"/>
    <xf numFmtId="0" fontId="9" fillId="0" borderId="0"/>
    <xf numFmtId="0" fontId="9" fillId="0" borderId="0"/>
    <xf numFmtId="165" fontId="9" fillId="0" borderId="0" applyNumberFormat="0" applyFill="0" applyBorder="0" applyAlignment="0" applyProtection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65" fontId="9" fillId="0" borderId="0" applyNumberFormat="0" applyFill="0" applyBorder="0" applyAlignment="0" applyProtection="0">
      <alignment horizontal="left" wrapText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ill="0" applyBorder="0" applyAlignment="0"/>
    <xf numFmtId="165" fontId="10" fillId="6" borderId="0" applyNumberFormat="0" applyBorder="0" applyAlignment="0" applyProtection="0"/>
    <xf numFmtId="165" fontId="10" fillId="7" borderId="0" applyNumberFormat="0" applyBorder="0" applyAlignment="0" applyProtection="0"/>
    <xf numFmtId="165" fontId="10" fillId="8" borderId="0" applyNumberFormat="0" applyBorder="0" applyAlignment="0" applyProtection="0"/>
    <xf numFmtId="165" fontId="10" fillId="9" borderId="0" applyNumberFormat="0" applyBorder="0" applyAlignment="0" applyProtection="0"/>
    <xf numFmtId="165" fontId="10" fillId="10" borderId="0" applyNumberFormat="0" applyBorder="0" applyAlignment="0" applyProtection="0"/>
    <xf numFmtId="165" fontId="10" fillId="11" borderId="0" applyNumberFormat="0" applyBorder="0" applyAlignment="0" applyProtection="0"/>
    <xf numFmtId="165" fontId="12" fillId="7" borderId="0" applyNumberFormat="0" applyBorder="0" applyAlignment="0" applyProtection="0"/>
    <xf numFmtId="165" fontId="12" fillId="8" borderId="0" applyNumberFormat="0" applyBorder="0" applyAlignment="0" applyProtection="0"/>
    <xf numFmtId="165" fontId="12" fillId="9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165" fontId="10" fillId="12" borderId="0" applyNumberFormat="0" applyBorder="0" applyAlignment="0" applyProtection="0"/>
    <xf numFmtId="165" fontId="10" fillId="13" borderId="0" applyNumberFormat="0" applyBorder="0" applyAlignment="0" applyProtection="0"/>
    <xf numFmtId="165" fontId="10" fillId="14" borderId="0" applyNumberFormat="0" applyBorder="0" applyAlignment="0" applyProtection="0"/>
    <xf numFmtId="165" fontId="10" fillId="9" borderId="0" applyNumberFormat="0" applyBorder="0" applyAlignment="0" applyProtection="0"/>
    <xf numFmtId="165" fontId="10" fillId="12" borderId="0" applyNumberFormat="0" applyBorder="0" applyAlignment="0" applyProtection="0"/>
    <xf numFmtId="165" fontId="10" fillId="15" borderId="0" applyNumberFormat="0" applyBorder="0" applyAlignment="0" applyProtection="0"/>
    <xf numFmtId="165" fontId="12" fillId="12" borderId="0" applyNumberFormat="0" applyBorder="0" applyAlignment="0" applyProtection="0"/>
    <xf numFmtId="165" fontId="12" fillId="13" borderId="0" applyNumberFormat="0" applyBorder="0" applyAlignment="0" applyProtection="0"/>
    <xf numFmtId="165" fontId="12" fillId="14" borderId="0" applyNumberFormat="0" applyBorder="0" applyAlignment="0" applyProtection="0"/>
    <xf numFmtId="165" fontId="12" fillId="9" borderId="0" applyNumberFormat="0" applyBorder="0" applyAlignment="0" applyProtection="0"/>
    <xf numFmtId="165" fontId="12" fillId="12" borderId="0" applyNumberFormat="0" applyBorder="0" applyAlignment="0" applyProtection="0"/>
    <xf numFmtId="165" fontId="12" fillId="15" borderId="0" applyNumberFormat="0" applyBorder="0" applyAlignment="0" applyProtection="0"/>
    <xf numFmtId="165" fontId="13" fillId="16" borderId="0" applyNumberFormat="0" applyBorder="0" applyAlignment="0" applyProtection="0"/>
    <xf numFmtId="165" fontId="13" fillId="13" borderId="0" applyNumberFormat="0" applyBorder="0" applyAlignment="0" applyProtection="0"/>
    <xf numFmtId="165" fontId="13" fillId="14" borderId="0" applyNumberFormat="0" applyBorder="0" applyAlignment="0" applyProtection="0"/>
    <xf numFmtId="165" fontId="13" fillId="17" borderId="0" applyNumberFormat="0" applyBorder="0" applyAlignment="0" applyProtection="0"/>
    <xf numFmtId="165" fontId="13" fillId="18" borderId="0" applyNumberFormat="0" applyBorder="0" applyAlignment="0" applyProtection="0"/>
    <xf numFmtId="165" fontId="13" fillId="19" borderId="0" applyNumberFormat="0" applyBorder="0" applyAlignment="0" applyProtection="0"/>
    <xf numFmtId="165" fontId="14" fillId="16" borderId="0" applyNumberFormat="0" applyBorder="0" applyAlignment="0" applyProtection="0"/>
    <xf numFmtId="165" fontId="14" fillId="13" borderId="0" applyNumberFormat="0" applyBorder="0" applyAlignment="0" applyProtection="0"/>
    <xf numFmtId="165" fontId="14" fillId="14" borderId="0" applyNumberFormat="0" applyBorder="0" applyAlignment="0" applyProtection="0"/>
    <xf numFmtId="165" fontId="14" fillId="17" borderId="0" applyNumberFormat="0" applyBorder="0" applyAlignment="0" applyProtection="0"/>
    <xf numFmtId="165" fontId="14" fillId="18" borderId="0" applyNumberFormat="0" applyBorder="0" applyAlignment="0" applyProtection="0"/>
    <xf numFmtId="165" fontId="14" fillId="19" borderId="0" applyNumberFormat="0" applyBorder="0" applyAlignment="0" applyProtection="0"/>
    <xf numFmtId="165" fontId="15" fillId="0" borderId="0" applyNumberFormat="0" applyAlignment="0"/>
    <xf numFmtId="165" fontId="13" fillId="20" borderId="0" applyNumberFormat="0" applyBorder="0" applyAlignment="0" applyProtection="0"/>
    <xf numFmtId="165" fontId="10" fillId="21" borderId="0" applyNumberFormat="0" applyBorder="0" applyAlignment="0" applyProtection="0"/>
    <xf numFmtId="165" fontId="10" fillId="22" borderId="0" applyNumberFormat="0" applyBorder="0" applyAlignment="0" applyProtection="0"/>
    <xf numFmtId="165" fontId="13" fillId="23" borderId="0" applyNumberFormat="0" applyBorder="0" applyAlignment="0" applyProtection="0"/>
    <xf numFmtId="0" fontId="14" fillId="16" borderId="0" applyNumberFormat="0" applyBorder="0" applyAlignment="0" applyProtection="0"/>
    <xf numFmtId="165" fontId="13" fillId="24" borderId="0" applyNumberFormat="0" applyBorder="0" applyAlignment="0" applyProtection="0"/>
    <xf numFmtId="165" fontId="10" fillId="21" borderId="0" applyNumberFormat="0" applyBorder="0" applyAlignment="0" applyProtection="0"/>
    <xf numFmtId="165" fontId="10" fillId="25" borderId="0" applyNumberFormat="0" applyBorder="0" applyAlignment="0" applyProtection="0"/>
    <xf numFmtId="165" fontId="13" fillId="26" borderId="0" applyNumberFormat="0" applyBorder="0" applyAlignment="0" applyProtection="0"/>
    <xf numFmtId="0" fontId="14" fillId="17" borderId="0" applyNumberFormat="0" applyBorder="0" applyAlignment="0" applyProtection="0"/>
    <xf numFmtId="165" fontId="13" fillId="26" borderId="0" applyNumberFormat="0" applyBorder="0" applyAlignment="0" applyProtection="0"/>
    <xf numFmtId="165" fontId="10" fillId="21" borderId="0" applyNumberFormat="0" applyBorder="0" applyAlignment="0" applyProtection="0"/>
    <xf numFmtId="165" fontId="10" fillId="21" borderId="0" applyNumberFormat="0" applyBorder="0" applyAlignment="0" applyProtection="0"/>
    <xf numFmtId="165" fontId="13" fillId="25" borderId="0" applyNumberFormat="0" applyBorder="0" applyAlignment="0" applyProtection="0"/>
    <xf numFmtId="0" fontId="14" fillId="27" borderId="0" applyNumberFormat="0" applyBorder="0" applyAlignment="0" applyProtection="0"/>
    <xf numFmtId="165" fontId="13" fillId="20" borderId="0" applyNumberFormat="0" applyBorder="0" applyAlignment="0" applyProtection="0"/>
    <xf numFmtId="165" fontId="10" fillId="21" borderId="0" applyNumberFormat="0" applyBorder="0" applyAlignment="0" applyProtection="0"/>
    <xf numFmtId="165" fontId="10" fillId="25" borderId="0" applyNumberFormat="0" applyBorder="0" applyAlignment="0" applyProtection="0"/>
    <xf numFmtId="165" fontId="13" fillId="25" borderId="0" applyNumberFormat="0" applyBorder="0" applyAlignment="0" applyProtection="0"/>
    <xf numFmtId="0" fontId="14" fillId="9" borderId="0" applyNumberFormat="0" applyBorder="0" applyAlignment="0" applyProtection="0"/>
    <xf numFmtId="165" fontId="13" fillId="28" borderId="0" applyNumberFormat="0" applyBorder="0" applyAlignment="0" applyProtection="0"/>
    <xf numFmtId="165" fontId="10" fillId="21" borderId="0" applyNumberFormat="0" applyBorder="0" applyAlignment="0" applyProtection="0"/>
    <xf numFmtId="165" fontId="10" fillId="21" borderId="0" applyNumberFormat="0" applyBorder="0" applyAlignment="0" applyProtection="0"/>
    <xf numFmtId="165" fontId="13" fillId="23" borderId="0" applyNumberFormat="0" applyBorder="0" applyAlignment="0" applyProtection="0"/>
    <xf numFmtId="0" fontId="14" fillId="16" borderId="0" applyNumberFormat="0" applyBorder="0" applyAlignment="0" applyProtection="0"/>
    <xf numFmtId="165" fontId="13" fillId="29" borderId="0" applyNumberFormat="0" applyBorder="0" applyAlignment="0" applyProtection="0"/>
    <xf numFmtId="165" fontId="10" fillId="30" borderId="0" applyNumberFormat="0" applyBorder="0" applyAlignment="0" applyProtection="0"/>
    <xf numFmtId="165" fontId="10" fillId="30" borderId="0" applyNumberFormat="0" applyBorder="0" applyAlignment="0" applyProtection="0"/>
    <xf numFmtId="165" fontId="13" fillId="31" borderId="0" applyNumberFormat="0" applyBorder="0" applyAlignment="0" applyProtection="0"/>
    <xf numFmtId="0" fontId="14" fillId="32" borderId="0" applyNumberFormat="0" applyBorder="0" applyAlignment="0" applyProtection="0"/>
    <xf numFmtId="15" fontId="9" fillId="33" borderId="10" applyNumberFormat="0" applyFont="0" applyAlignment="0">
      <alignment horizontal="center"/>
    </xf>
    <xf numFmtId="0" fontId="16" fillId="0" borderId="0" applyNumberFormat="0" applyFill="0" applyBorder="0" applyAlignment="0" applyProtection="0"/>
    <xf numFmtId="165" fontId="17" fillId="34" borderId="11" applyNumberFormat="0" applyAlignment="0" applyProtection="0"/>
    <xf numFmtId="165" fontId="9" fillId="0" borderId="0"/>
    <xf numFmtId="164" fontId="18" fillId="0" borderId="0" applyNumberFormat="0" applyFill="0" applyBorder="0" applyAlignment="0" applyProtection="0"/>
    <xf numFmtId="165" fontId="9" fillId="35" borderId="0" applyNumberFormat="0" applyFont="0" applyAlignment="0"/>
    <xf numFmtId="166" fontId="15" fillId="0" borderId="0" applyFont="0" applyBorder="0" applyAlignment="0" applyProtection="0">
      <alignment horizontal="right"/>
    </xf>
    <xf numFmtId="165" fontId="19" fillId="34" borderId="12" applyNumberFormat="0" applyAlignment="0" applyProtection="0"/>
    <xf numFmtId="167" fontId="9" fillId="0" borderId="9" applyFont="0" applyBorder="0">
      <alignment horizontal="right"/>
    </xf>
    <xf numFmtId="168" fontId="9" fillId="0" borderId="13" applyFont="0" applyBorder="0">
      <alignment horizontal="right"/>
    </xf>
    <xf numFmtId="164" fontId="18" fillId="0" borderId="0" applyNumberFormat="0" applyFont="0" applyAlignment="0" applyProtection="0"/>
    <xf numFmtId="169" fontId="20" fillId="0" borderId="0" applyFont="0" applyFill="0" applyBorder="0" applyAlignment="0" applyProtection="0"/>
    <xf numFmtId="170" fontId="10" fillId="0" borderId="0" applyNumberFormat="0" applyAlignment="0" applyProtection="0"/>
    <xf numFmtId="165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2" fillId="0" borderId="9" applyNumberFormat="0" applyFill="0" applyAlignment="0" applyProtection="0"/>
    <xf numFmtId="0" fontId="23" fillId="0" borderId="14" applyNumberFormat="0" applyFont="0" applyFill="0" applyAlignment="0" applyProtection="0"/>
    <xf numFmtId="0" fontId="23" fillId="0" borderId="15" applyNumberFormat="0" applyFont="0" applyFill="0" applyAlignment="0" applyProtection="0"/>
    <xf numFmtId="165" fontId="24" fillId="8" borderId="0" applyNumberFormat="0" applyBorder="0" applyAlignment="0" applyProtection="0"/>
    <xf numFmtId="165" fontId="11" fillId="0" borderId="0" applyFont="0" applyFill="0" applyBorder="0" applyAlignment="0" applyProtection="0"/>
    <xf numFmtId="165" fontId="25" fillId="36" borderId="12" applyNumberFormat="0" applyAlignment="0" applyProtection="0"/>
    <xf numFmtId="165" fontId="26" fillId="37" borderId="16" applyNumberFormat="0" applyAlignment="0" applyProtection="0"/>
    <xf numFmtId="165" fontId="27" fillId="0" borderId="17" applyNumberFormat="0" applyFill="0" applyAlignment="0" applyProtection="0"/>
    <xf numFmtId="3" fontId="28" fillId="35" borderId="10" applyFont="0" applyFill="0" applyProtection="0">
      <alignment horizontal="right"/>
    </xf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0" fontId="30" fillId="33" borderId="10" applyNumberFormat="0" applyAlignment="0">
      <alignment horizontal="right"/>
    </xf>
    <xf numFmtId="1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5" fontId="9" fillId="38" borderId="18" applyFont="0" applyFill="0" applyBorder="0" applyAlignment="0" applyProtection="0">
      <alignment horizontal="center"/>
      <protection locked="0"/>
    </xf>
    <xf numFmtId="172" fontId="9" fillId="0" borderId="0"/>
    <xf numFmtId="0" fontId="9" fillId="0" borderId="0"/>
    <xf numFmtId="165" fontId="30" fillId="31" borderId="12" applyNumberFormat="0" applyAlignment="0" applyProtection="0"/>
    <xf numFmtId="165" fontId="31" fillId="0" borderId="0" applyNumberFormat="0" applyFill="0" applyBorder="0" applyAlignment="0" applyProtection="0"/>
    <xf numFmtId="165" fontId="14" fillId="39" borderId="0" applyNumberFormat="0" applyBorder="0" applyAlignment="0" applyProtection="0"/>
    <xf numFmtId="165" fontId="14" fillId="40" borderId="0" applyNumberFormat="0" applyBorder="0" applyAlignment="0" applyProtection="0"/>
    <xf numFmtId="165" fontId="14" fillId="41" borderId="0" applyNumberFormat="0" applyBorder="0" applyAlignment="0" applyProtection="0"/>
    <xf numFmtId="165" fontId="14" fillId="17" borderId="0" applyNumberFormat="0" applyBorder="0" applyAlignment="0" applyProtection="0"/>
    <xf numFmtId="165" fontId="14" fillId="18" borderId="0" applyNumberFormat="0" applyBorder="0" applyAlignment="0" applyProtection="0"/>
    <xf numFmtId="165" fontId="14" fillId="42" borderId="0" applyNumberFormat="0" applyBorder="0" applyAlignment="0" applyProtection="0"/>
    <xf numFmtId="165" fontId="32" fillId="11" borderId="12" applyNumberFormat="0" applyAlignment="0" applyProtection="0"/>
    <xf numFmtId="165" fontId="33" fillId="0" borderId="19" applyNumberFormat="0" applyFill="0" applyAlignment="0" applyProtection="0"/>
    <xf numFmtId="165" fontId="34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73" fontId="20" fillId="35" borderId="0">
      <alignment horizontal="right"/>
    </xf>
    <xf numFmtId="174" fontId="35" fillId="0" borderId="20"/>
    <xf numFmtId="164" fontId="35" fillId="0" borderId="0"/>
    <xf numFmtId="38" fontId="15" fillId="43" borderId="0" applyNumberFormat="0" applyBorder="0" applyAlignment="0" applyProtection="0"/>
    <xf numFmtId="165" fontId="36" fillId="44" borderId="20" applyAlignment="0" applyProtection="0"/>
    <xf numFmtId="165" fontId="9" fillId="43" borderId="10" applyNumberFormat="0" applyFont="0" applyBorder="0" applyAlignment="0" applyProtection="0">
      <alignment horizontal="center"/>
    </xf>
    <xf numFmtId="165" fontId="37" fillId="45" borderId="0" applyNumberFormat="0" applyBorder="0" applyAlignment="0" applyProtection="0"/>
    <xf numFmtId="164" fontId="28" fillId="46" borderId="0" applyBorder="0" applyProtection="0"/>
    <xf numFmtId="165" fontId="38" fillId="0" borderId="21" applyNumberFormat="0" applyAlignment="0" applyProtection="0">
      <alignment horizontal="left" vertical="center"/>
    </xf>
    <xf numFmtId="165" fontId="38" fillId="0" borderId="20">
      <alignment horizontal="left" vertical="center"/>
    </xf>
    <xf numFmtId="175" fontId="39" fillId="0" borderId="22" applyFill="0" applyProtection="0">
      <alignment wrapText="1"/>
    </xf>
    <xf numFmtId="165" fontId="36" fillId="35" borderId="23" applyFont="0" applyBorder="0">
      <alignment horizontal="center" wrapText="1"/>
    </xf>
    <xf numFmtId="165" fontId="33" fillId="47" borderId="0" applyNumberFormat="0" applyBorder="0" applyAlignment="0" applyProtection="0"/>
    <xf numFmtId="165" fontId="33" fillId="48" borderId="0" applyNumberFormat="0" applyBorder="0" applyAlignment="0" applyProtection="0"/>
    <xf numFmtId="165" fontId="33" fillId="49" borderId="0" applyNumberFormat="0" applyBorder="0" applyAlignment="0" applyProtection="0"/>
    <xf numFmtId="3" fontId="9" fillId="50" borderId="10" applyFont="0" applyProtection="0">
      <alignment horizontal="right"/>
    </xf>
    <xf numFmtId="10" fontId="9" fillId="50" borderId="10" applyFont="0" applyProtection="0">
      <alignment horizontal="right"/>
    </xf>
    <xf numFmtId="9" fontId="9" fillId="50" borderId="10" applyFont="0" applyProtection="0">
      <alignment horizontal="right"/>
    </xf>
    <xf numFmtId="165" fontId="9" fillId="50" borderId="23" applyNumberFormat="0" applyFont="0" applyBorder="0" applyAlignment="0" applyProtection="0">
      <alignment horizontal="left"/>
    </xf>
    <xf numFmtId="164" fontId="18" fillId="0" borderId="0"/>
    <xf numFmtId="37" fontId="36" fillId="0" borderId="0"/>
    <xf numFmtId="165" fontId="40" fillId="7" borderId="0" applyNumberFormat="0" applyBorder="0" applyAlignment="0" applyProtection="0"/>
    <xf numFmtId="10" fontId="15" fillId="51" borderId="10" applyNumberFormat="0" applyBorder="0" applyAlignment="0" applyProtection="0"/>
    <xf numFmtId="166" fontId="41" fillId="46" borderId="0" applyFont="0" applyBorder="0" applyProtection="0">
      <alignment horizontal="right"/>
    </xf>
    <xf numFmtId="176" fontId="42" fillId="46" borderId="0" applyFont="0" applyBorder="0" applyProtection="0">
      <alignment horizontal="right"/>
    </xf>
    <xf numFmtId="177" fontId="15" fillId="46" borderId="0" applyFont="0" applyBorder="0" applyProtection="0">
      <alignment horizontal="right"/>
    </xf>
    <xf numFmtId="178" fontId="42" fillId="46" borderId="0" applyFont="0" applyBorder="0" applyProtection="0"/>
    <xf numFmtId="179" fontId="42" fillId="46" borderId="0" applyFont="0" applyBorder="0" applyProtection="0">
      <alignment horizontal="right"/>
    </xf>
    <xf numFmtId="180" fontId="42" fillId="46" borderId="0" applyFont="0" applyBorder="0" applyProtection="0">
      <alignment horizontal="right"/>
    </xf>
    <xf numFmtId="181" fontId="42" fillId="46" borderId="0" applyFont="0" applyBorder="0" applyProtection="0"/>
    <xf numFmtId="182" fontId="42" fillId="46" borderId="0" applyFont="0" applyBorder="0" applyProtection="0">
      <alignment horizontal="right"/>
    </xf>
    <xf numFmtId="183" fontId="18" fillId="46" borderId="10"/>
    <xf numFmtId="184" fontId="9" fillId="51" borderId="0" applyFont="0" applyBorder="0"/>
    <xf numFmtId="170" fontId="18" fillId="46" borderId="0" applyNumberFormat="0" applyAlignment="0" applyProtection="0"/>
    <xf numFmtId="185" fontId="9" fillId="52" borderId="10" applyFont="0" applyAlignment="0">
      <protection locked="0"/>
    </xf>
    <xf numFmtId="3" fontId="9" fillId="52" borderId="10" applyFont="0">
      <alignment horizontal="right"/>
      <protection locked="0"/>
    </xf>
    <xf numFmtId="186" fontId="9" fillId="52" borderId="10" applyFont="0">
      <alignment horizontal="right"/>
      <protection locked="0"/>
    </xf>
    <xf numFmtId="187" fontId="9" fillId="53" borderId="10" applyProtection="0"/>
    <xf numFmtId="10" fontId="9" fillId="52" borderId="10" applyFont="0">
      <alignment horizontal="right"/>
      <protection locked="0"/>
    </xf>
    <xf numFmtId="9" fontId="9" fillId="52" borderId="1" applyFont="0">
      <alignment horizontal="right"/>
      <protection locked="0"/>
    </xf>
    <xf numFmtId="188" fontId="9" fillId="52" borderId="10">
      <alignment horizontal="right"/>
      <protection locked="0"/>
    </xf>
    <xf numFmtId="189" fontId="9" fillId="52" borderId="1" applyFont="0">
      <alignment horizontal="right"/>
      <protection locked="0"/>
    </xf>
    <xf numFmtId="15" fontId="9" fillId="46" borderId="10" applyNumberFormat="0" applyFont="0" applyAlignment="0">
      <protection locked="0"/>
    </xf>
    <xf numFmtId="165" fontId="9" fillId="52" borderId="10" applyFont="0">
      <alignment horizontal="center" wrapText="1"/>
      <protection locked="0"/>
    </xf>
    <xf numFmtId="49" fontId="9" fillId="52" borderId="10" applyFont="0" applyAlignment="0">
      <protection locked="0"/>
    </xf>
    <xf numFmtId="179" fontId="20" fillId="0" borderId="0" applyFont="0" applyBorder="0" applyProtection="0">
      <alignment horizontal="right"/>
    </xf>
    <xf numFmtId="165" fontId="43" fillId="0" borderId="0"/>
    <xf numFmtId="38" fontId="44" fillId="0" borderId="0"/>
    <xf numFmtId="38" fontId="45" fillId="0" borderId="0"/>
    <xf numFmtId="38" fontId="46" fillId="0" borderId="0"/>
    <xf numFmtId="38" fontId="47" fillId="0" borderId="0"/>
    <xf numFmtId="0" fontId="48" fillId="0" borderId="0"/>
    <xf numFmtId="0" fontId="48" fillId="0" borderId="0"/>
    <xf numFmtId="165" fontId="49" fillId="51" borderId="10" applyNumberFormat="0" applyBorder="0" applyAlignment="0">
      <alignment horizontal="right"/>
    </xf>
    <xf numFmtId="190" fontId="35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191" fontId="9" fillId="0" borderId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64" fontId="18" fillId="0" borderId="0" applyNumberFormat="0" applyFill="0" applyBorder="0" applyAlignment="0" applyProtection="0"/>
    <xf numFmtId="194" fontId="9" fillId="0" borderId="0" applyFont="0" applyFill="0" applyBorder="0" applyAlignment="0" applyProtection="0"/>
    <xf numFmtId="195" fontId="35" fillId="0" borderId="20"/>
    <xf numFmtId="196" fontId="35" fillId="0" borderId="0" applyFont="0" applyFill="0" applyBorder="0" applyAlignment="0" applyProtection="0"/>
    <xf numFmtId="197" fontId="9" fillId="0" borderId="0"/>
    <xf numFmtId="165" fontId="9" fillId="0" borderId="0"/>
    <xf numFmtId="0" fontId="9" fillId="0" borderId="0"/>
    <xf numFmtId="0" fontId="50" fillId="0" borderId="0"/>
    <xf numFmtId="165" fontId="9" fillId="0" borderId="0"/>
    <xf numFmtId="0" fontId="9" fillId="0" borderId="0"/>
    <xf numFmtId="165" fontId="12" fillId="0" borderId="0"/>
    <xf numFmtId="165" fontId="12" fillId="0" borderId="0"/>
    <xf numFmtId="165" fontId="12" fillId="0" borderId="0"/>
    <xf numFmtId="165" fontId="9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51" fillId="0" borderId="0"/>
    <xf numFmtId="165" fontId="50" fillId="0" borderId="0"/>
    <xf numFmtId="0" fontId="52" fillId="0" borderId="0"/>
    <xf numFmtId="165" fontId="9" fillId="54" borderId="24" applyNumberFormat="0" applyFont="0" applyAlignment="0" applyProtection="0"/>
    <xf numFmtId="0" fontId="53" fillId="0" borderId="25"/>
    <xf numFmtId="165" fontId="9" fillId="30" borderId="24" applyNumberFormat="0" applyFont="0" applyAlignment="0" applyProtection="0"/>
    <xf numFmtId="165" fontId="15" fillId="33" borderId="10" applyNumberFormat="0" applyAlignment="0"/>
    <xf numFmtId="3" fontId="9" fillId="55" borderId="10">
      <alignment horizontal="right"/>
      <protection locked="0"/>
    </xf>
    <xf numFmtId="186" fontId="9" fillId="55" borderId="10">
      <alignment horizontal="right"/>
      <protection locked="0"/>
    </xf>
    <xf numFmtId="10" fontId="9" fillId="55" borderId="10" applyFont="0">
      <alignment horizontal="right"/>
      <protection locked="0"/>
    </xf>
    <xf numFmtId="9" fontId="9" fillId="55" borderId="10">
      <alignment horizontal="right"/>
      <protection locked="0"/>
    </xf>
    <xf numFmtId="189" fontId="9" fillId="55" borderId="1" applyFont="0">
      <alignment horizontal="right"/>
      <protection locked="0"/>
    </xf>
    <xf numFmtId="165" fontId="9" fillId="55" borderId="10">
      <alignment horizontal="center" wrapText="1"/>
    </xf>
    <xf numFmtId="165" fontId="9" fillId="55" borderId="10" applyNumberFormat="0" applyFont="0">
      <alignment horizontal="center" wrapText="1"/>
      <protection locked="0"/>
    </xf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54" fillId="0" borderId="0" applyFill="0" applyBorder="0" applyProtection="0">
      <alignment horizontal="left"/>
    </xf>
    <xf numFmtId="0" fontId="55" fillId="0" borderId="0" applyFill="0" applyBorder="0" applyProtection="0">
      <alignment horizontal="left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9" fillId="0" borderId="0" applyFont="0" applyFill="0" applyBorder="0" applyAlignment="0" applyProtection="0"/>
    <xf numFmtId="198" fontId="23" fillId="0" borderId="0" applyFont="0" applyFill="0" applyBorder="0" applyProtection="0">
      <alignment horizontal="right"/>
    </xf>
    <xf numFmtId="199" fontId="35" fillId="35" borderId="0"/>
    <xf numFmtId="9" fontId="48" fillId="0" borderId="0" applyFont="0" applyFill="0" applyBorder="0" applyAlignment="0" applyProtection="0"/>
    <xf numFmtId="0" fontId="9" fillId="0" borderId="0"/>
    <xf numFmtId="37" fontId="9" fillId="0" borderId="0" applyFont="0" applyFill="0" applyBorder="0" applyAlignment="0" applyProtection="0"/>
    <xf numFmtId="0" fontId="56" fillId="0" borderId="0"/>
    <xf numFmtId="165" fontId="57" fillId="36" borderId="11" applyNumberFormat="0" applyAlignment="0" applyProtection="0"/>
    <xf numFmtId="4" fontId="10" fillId="46" borderId="11" applyNumberFormat="0" applyProtection="0">
      <alignment vertical="center"/>
    </xf>
    <xf numFmtId="4" fontId="58" fillId="46" borderId="11" applyNumberFormat="0" applyProtection="0">
      <alignment vertical="center"/>
    </xf>
    <xf numFmtId="4" fontId="10" fillId="46" borderId="11" applyNumberFormat="0" applyProtection="0">
      <alignment horizontal="left" vertical="center" indent="1"/>
    </xf>
    <xf numFmtId="4" fontId="10" fillId="46" borderId="11" applyNumberFormat="0" applyProtection="0">
      <alignment horizontal="left" vertical="center" indent="1"/>
    </xf>
    <xf numFmtId="165" fontId="9" fillId="56" borderId="11" applyNumberFormat="0" applyProtection="0">
      <alignment horizontal="left" vertical="center" indent="1"/>
    </xf>
    <xf numFmtId="165" fontId="9" fillId="56" borderId="11" applyNumberFormat="0" applyProtection="0">
      <alignment horizontal="left" vertical="center" indent="1"/>
    </xf>
    <xf numFmtId="4" fontId="33" fillId="57" borderId="0" applyNumberFormat="0" applyProtection="0">
      <alignment horizontal="left" vertical="center" indent="1"/>
    </xf>
    <xf numFmtId="4" fontId="10" fillId="58" borderId="11" applyNumberFormat="0" applyProtection="0">
      <alignment horizontal="right" vertical="center"/>
    </xf>
    <xf numFmtId="4" fontId="10" fillId="59" borderId="11" applyNumberFormat="0" applyProtection="0">
      <alignment horizontal="right" vertical="center"/>
    </xf>
    <xf numFmtId="4" fontId="10" fillId="60" borderId="11" applyNumberFormat="0" applyProtection="0">
      <alignment horizontal="right" vertical="center"/>
    </xf>
    <xf numFmtId="4" fontId="10" fillId="61" borderId="11" applyNumberFormat="0" applyProtection="0">
      <alignment horizontal="right" vertical="center"/>
    </xf>
    <xf numFmtId="4" fontId="10" fillId="62" borderId="11" applyNumberFormat="0" applyProtection="0">
      <alignment horizontal="right" vertical="center"/>
    </xf>
    <xf numFmtId="4" fontId="10" fillId="63" borderId="11" applyNumberFormat="0" applyProtection="0">
      <alignment horizontal="right" vertical="center"/>
    </xf>
    <xf numFmtId="4" fontId="10" fillId="64" borderId="11" applyNumberFormat="0" applyProtection="0">
      <alignment horizontal="right" vertical="center"/>
    </xf>
    <xf numFmtId="4" fontId="10" fillId="65" borderId="11" applyNumberFormat="0" applyProtection="0">
      <alignment horizontal="right" vertical="center"/>
    </xf>
    <xf numFmtId="4" fontId="10" fillId="66" borderId="11" applyNumberFormat="0" applyProtection="0">
      <alignment horizontal="right" vertical="center"/>
    </xf>
    <xf numFmtId="4" fontId="33" fillId="67" borderId="11" applyNumberFormat="0" applyProtection="0">
      <alignment horizontal="left" vertical="center" indent="1"/>
    </xf>
    <xf numFmtId="4" fontId="33" fillId="67" borderId="11" applyNumberFormat="0" applyProtection="0">
      <alignment horizontal="left" vertical="center" indent="1"/>
    </xf>
    <xf numFmtId="4" fontId="33" fillId="68" borderId="26" applyNumberFormat="0" applyProtection="0">
      <alignment horizontal="left" vertical="center" indent="1"/>
    </xf>
    <xf numFmtId="4" fontId="10" fillId="69" borderId="27" applyNumberFormat="0" applyProtection="0">
      <alignment horizontal="left" vertical="center" indent="1"/>
    </xf>
    <xf numFmtId="4" fontId="59" fillId="70" borderId="0" applyNumberFormat="0" applyProtection="0">
      <alignment horizontal="left" vertical="center" indent="1"/>
    </xf>
    <xf numFmtId="165" fontId="9" fillId="56" borderId="11" applyNumberFormat="0" applyProtection="0">
      <alignment horizontal="left" vertical="center" indent="1"/>
    </xf>
    <xf numFmtId="165" fontId="9" fillId="56" borderId="11" applyNumberFormat="0" applyProtection="0">
      <alignment horizontal="left" vertical="center" indent="1"/>
    </xf>
    <xf numFmtId="4" fontId="10" fillId="71" borderId="28" applyNumberFormat="0" applyProtection="0">
      <alignment horizontal="right" vertical="center"/>
    </xf>
    <xf numFmtId="4" fontId="10" fillId="69" borderId="11" applyNumberFormat="0" applyProtection="0">
      <alignment horizontal="left" vertical="center" indent="1"/>
    </xf>
    <xf numFmtId="4" fontId="10" fillId="69" borderId="11" applyNumberFormat="0" applyProtection="0">
      <alignment horizontal="left" vertical="center" indent="1"/>
    </xf>
    <xf numFmtId="4" fontId="10" fillId="72" borderId="0" applyNumberFormat="0" applyProtection="0">
      <alignment horizontal="left" vertical="center" indent="1"/>
    </xf>
    <xf numFmtId="4" fontId="10" fillId="73" borderId="11" applyNumberFormat="0" applyProtection="0">
      <alignment horizontal="left" vertical="center" indent="1"/>
    </xf>
    <xf numFmtId="4" fontId="10" fillId="73" borderId="11" applyNumberFormat="0" applyProtection="0">
      <alignment horizontal="left" vertical="center" indent="1"/>
    </xf>
    <xf numFmtId="4" fontId="10" fillId="57" borderId="0" applyNumberFormat="0" applyProtection="0">
      <alignment horizontal="left" vertical="center" indent="1"/>
    </xf>
    <xf numFmtId="165" fontId="9" fillId="73" borderId="11" applyNumberFormat="0" applyProtection="0">
      <alignment horizontal="left" vertical="center" indent="1"/>
    </xf>
    <xf numFmtId="165" fontId="9" fillId="73" borderId="11" applyNumberFormat="0" applyProtection="0">
      <alignment horizontal="left" vertical="center" indent="1"/>
    </xf>
    <xf numFmtId="0" fontId="9" fillId="70" borderId="28" applyNumberFormat="0" applyProtection="0">
      <alignment horizontal="left" vertical="center" indent="1"/>
    </xf>
    <xf numFmtId="165" fontId="9" fillId="73" borderId="11" applyNumberFormat="0" applyProtection="0">
      <alignment horizontal="left" vertical="center" indent="1"/>
    </xf>
    <xf numFmtId="165" fontId="9" fillId="44" borderId="11" applyNumberFormat="0" applyProtection="0">
      <alignment horizontal="left" vertical="center" indent="1"/>
    </xf>
    <xf numFmtId="165" fontId="9" fillId="44" borderId="11" applyNumberFormat="0" applyProtection="0">
      <alignment horizontal="left" vertical="center" indent="1"/>
    </xf>
    <xf numFmtId="165" fontId="9" fillId="44" borderId="11" applyNumberFormat="0" applyProtection="0">
      <alignment horizontal="left" vertical="center" indent="1"/>
    </xf>
    <xf numFmtId="165" fontId="9" fillId="44" borderId="11" applyNumberFormat="0" applyProtection="0">
      <alignment horizontal="left" vertical="center" indent="1"/>
    </xf>
    <xf numFmtId="0" fontId="9" fillId="57" borderId="28" applyNumberFormat="0" applyProtection="0">
      <alignment horizontal="left" vertical="center" indent="1"/>
    </xf>
    <xf numFmtId="165" fontId="9" fillId="44" borderId="11" applyNumberFormat="0" applyProtection="0">
      <alignment horizontal="left" vertical="center" indent="1"/>
    </xf>
    <xf numFmtId="165" fontId="9" fillId="43" borderId="11" applyNumberFormat="0" applyProtection="0">
      <alignment horizontal="left" vertical="center" indent="1"/>
    </xf>
    <xf numFmtId="165" fontId="9" fillId="43" borderId="11" applyNumberFormat="0" applyProtection="0">
      <alignment horizontal="left" vertical="center" indent="1"/>
    </xf>
    <xf numFmtId="165" fontId="9" fillId="56" borderId="11" applyNumberFormat="0" applyProtection="0">
      <alignment horizontal="left" vertical="center" indent="1"/>
    </xf>
    <xf numFmtId="165" fontId="9" fillId="56" borderId="11" applyNumberFormat="0" applyProtection="0">
      <alignment horizontal="left" vertical="center" indent="1"/>
    </xf>
    <xf numFmtId="4" fontId="10" fillId="51" borderId="11" applyNumberFormat="0" applyProtection="0">
      <alignment vertical="center"/>
    </xf>
    <xf numFmtId="4" fontId="58" fillId="51" borderId="11" applyNumberFormat="0" applyProtection="0">
      <alignment vertical="center"/>
    </xf>
    <xf numFmtId="4" fontId="10" fillId="51" borderId="11" applyNumberFormat="0" applyProtection="0">
      <alignment horizontal="left" vertical="center" indent="1"/>
    </xf>
    <xf numFmtId="4" fontId="10" fillId="51" borderId="11" applyNumberFormat="0" applyProtection="0">
      <alignment horizontal="left" vertical="center" indent="1"/>
    </xf>
    <xf numFmtId="4" fontId="10" fillId="69" borderId="11" applyNumberFormat="0" applyProtection="0">
      <alignment horizontal="right" vertical="center"/>
    </xf>
    <xf numFmtId="4" fontId="10" fillId="69" borderId="11" applyNumberFormat="0" applyProtection="0">
      <alignment horizontal="right" vertical="center"/>
    </xf>
    <xf numFmtId="4" fontId="10" fillId="72" borderId="28" applyNumberFormat="0" applyProtection="0">
      <alignment horizontal="right" vertical="center"/>
    </xf>
    <xf numFmtId="4" fontId="58" fillId="69" borderId="11" applyNumberFormat="0" applyProtection="0">
      <alignment horizontal="right" vertical="center"/>
    </xf>
    <xf numFmtId="165" fontId="9" fillId="56" borderId="11" applyNumberFormat="0" applyProtection="0">
      <alignment horizontal="left" vertical="center" indent="1"/>
    </xf>
    <xf numFmtId="165" fontId="9" fillId="56" borderId="11" applyNumberFormat="0" applyProtection="0">
      <alignment horizontal="left" vertical="center" indent="1"/>
    </xf>
    <xf numFmtId="165" fontId="9" fillId="56" borderId="11" applyNumberFormat="0" applyProtection="0">
      <alignment horizontal="left" vertical="center" indent="1"/>
    </xf>
    <xf numFmtId="0" fontId="10" fillId="57" borderId="28" applyNumberFormat="0" applyProtection="0">
      <alignment horizontal="left" vertical="top" indent="1"/>
    </xf>
    <xf numFmtId="165" fontId="60" fillId="0" borderId="0"/>
    <xf numFmtId="165" fontId="60" fillId="0" borderId="0"/>
    <xf numFmtId="4" fontId="61" fillId="74" borderId="0" applyNumberFormat="0" applyProtection="0">
      <alignment horizontal="left" vertical="center" indent="1"/>
    </xf>
    <xf numFmtId="4" fontId="28" fillId="69" borderId="11" applyNumberFormat="0" applyProtection="0">
      <alignment horizontal="right" vertical="center"/>
    </xf>
    <xf numFmtId="165" fontId="62" fillId="75" borderId="0" applyNumberFormat="0" applyBorder="0" applyAlignment="0" applyProtection="0"/>
    <xf numFmtId="0" fontId="9" fillId="1" borderId="0" applyNumberFormat="0" applyFont="0" applyBorder="0" applyAlignment="0" applyProtection="0"/>
    <xf numFmtId="165" fontId="63" fillId="76" borderId="0"/>
    <xf numFmtId="49" fontId="64" fillId="76" borderId="0"/>
    <xf numFmtId="49" fontId="65" fillId="76" borderId="29">
      <protection hidden="1"/>
    </xf>
    <xf numFmtId="165" fontId="65" fillId="76" borderId="0"/>
    <xf numFmtId="165" fontId="63" fillId="35" borderId="29">
      <protection locked="0"/>
    </xf>
    <xf numFmtId="165" fontId="63" fillId="76" borderId="0"/>
    <xf numFmtId="165" fontId="66" fillId="52" borderId="0"/>
    <xf numFmtId="165" fontId="66" fillId="66" borderId="0"/>
    <xf numFmtId="165" fontId="66" fillId="61" borderId="0"/>
    <xf numFmtId="0" fontId="20" fillId="77" borderId="0" applyNumberFormat="0" applyFont="0" applyBorder="0" applyAlignment="0" applyProtection="0"/>
    <xf numFmtId="200" fontId="9" fillId="35" borderId="10">
      <alignment horizontal="center"/>
    </xf>
    <xf numFmtId="3" fontId="9" fillId="35" borderId="10" applyFont="0">
      <alignment horizontal="right"/>
    </xf>
    <xf numFmtId="201" fontId="9" fillId="35" borderId="10" applyFont="0">
      <alignment horizontal="right"/>
    </xf>
    <xf numFmtId="186" fontId="9" fillId="35" borderId="10" applyFont="0">
      <alignment horizontal="right"/>
    </xf>
    <xf numFmtId="10" fontId="9" fillId="35" borderId="10" applyFont="0">
      <alignment horizontal="right"/>
    </xf>
    <xf numFmtId="9" fontId="9" fillId="35" borderId="10" applyFont="0">
      <alignment horizontal="right"/>
    </xf>
    <xf numFmtId="202" fontId="9" fillId="35" borderId="10" applyFont="0">
      <alignment horizontal="center" wrapText="1"/>
    </xf>
    <xf numFmtId="165" fontId="9" fillId="0" borderId="0" applyNumberFormat="0" applyFont="0" applyFill="0" applyBorder="0" applyAlignment="0" applyProtection="0"/>
    <xf numFmtId="165" fontId="48" fillId="0" borderId="0"/>
    <xf numFmtId="165" fontId="9" fillId="0" borderId="0"/>
    <xf numFmtId="0" fontId="50" fillId="0" borderId="0"/>
    <xf numFmtId="165" fontId="9" fillId="0" borderId="0"/>
    <xf numFmtId="0" fontId="9" fillId="0" borderId="0">
      <alignment vertical="top"/>
    </xf>
    <xf numFmtId="165" fontId="9" fillId="0" borderId="0"/>
    <xf numFmtId="0" fontId="9" fillId="0" borderId="0">
      <alignment vertical="top"/>
    </xf>
    <xf numFmtId="0" fontId="59" fillId="0" borderId="10">
      <alignment horizontal="left" vertical="top" wrapText="1"/>
      <protection locked="0"/>
    </xf>
    <xf numFmtId="185" fontId="9" fillId="78" borderId="10">
      <protection locked="0"/>
    </xf>
    <xf numFmtId="1" fontId="9" fillId="78" borderId="10" applyFont="0">
      <alignment horizontal="right"/>
    </xf>
    <xf numFmtId="187" fontId="9" fillId="78" borderId="10" applyFont="0"/>
    <xf numFmtId="9" fontId="9" fillId="78" borderId="10" applyFont="0">
      <alignment horizontal="right"/>
    </xf>
    <xf numFmtId="188" fontId="9" fillId="78" borderId="10" applyFont="0">
      <alignment horizontal="right"/>
    </xf>
    <xf numFmtId="10" fontId="9" fillId="78" borderId="10" applyFont="0">
      <alignment horizontal="right"/>
    </xf>
    <xf numFmtId="165" fontId="9" fillId="78" borderId="10" applyFont="0">
      <alignment horizontal="center" wrapText="1"/>
    </xf>
    <xf numFmtId="49" fontId="9" fillId="78" borderId="10" applyFont="0"/>
    <xf numFmtId="187" fontId="9" fillId="79" borderId="10" applyFont="0"/>
    <xf numFmtId="9" fontId="9" fillId="79" borderId="10" applyFont="0">
      <alignment horizontal="right"/>
    </xf>
    <xf numFmtId="187" fontId="9" fillId="58" borderId="10" applyFont="0">
      <alignment horizontal="right"/>
    </xf>
    <xf numFmtId="1" fontId="9" fillId="58" borderId="10" applyFont="0">
      <alignment horizontal="right"/>
    </xf>
    <xf numFmtId="187" fontId="9" fillId="58" borderId="10" applyFont="0"/>
    <xf numFmtId="186" fontId="9" fillId="58" borderId="10" applyFont="0"/>
    <xf numFmtId="10" fontId="9" fillId="58" borderId="10" applyFont="0">
      <alignment horizontal="right"/>
    </xf>
    <xf numFmtId="9" fontId="9" fillId="58" borderId="10" applyFont="0">
      <alignment horizontal="right"/>
    </xf>
    <xf numFmtId="188" fontId="9" fillId="58" borderId="10" applyFont="0">
      <alignment horizontal="right"/>
    </xf>
    <xf numFmtId="10" fontId="9" fillId="58" borderId="30" applyFont="0">
      <alignment horizontal="right"/>
    </xf>
    <xf numFmtId="165" fontId="9" fillId="58" borderId="10" applyFont="0">
      <alignment horizontal="center" wrapText="1"/>
      <protection locked="0"/>
    </xf>
    <xf numFmtId="49" fontId="9" fillId="58" borderId="10" applyFont="0"/>
    <xf numFmtId="0" fontId="67" fillId="0" borderId="0" applyFill="0" applyBorder="0" applyProtection="0">
      <alignment horizontal="center" vertical="center"/>
    </xf>
    <xf numFmtId="0" fontId="68" fillId="0" borderId="0" applyFill="0" applyBorder="0" applyProtection="0"/>
    <xf numFmtId="0" fontId="69" fillId="0" borderId="31" applyFill="0" applyBorder="0" applyProtection="0">
      <alignment horizontal="left" vertical="center"/>
    </xf>
    <xf numFmtId="0" fontId="70" fillId="0" borderId="0" applyFill="0" applyBorder="0" applyProtection="0">
      <alignment horizontal="left" vertical="top"/>
    </xf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84" fontId="9" fillId="0" borderId="0" applyFont="0" applyBorder="0"/>
    <xf numFmtId="165" fontId="73" fillId="0" borderId="0" applyNumberFormat="0" applyFill="0" applyBorder="0" applyAlignment="0" applyProtection="0"/>
    <xf numFmtId="165" fontId="74" fillId="0" borderId="32" applyNumberFormat="0" applyFill="0" applyAlignment="0" applyProtection="0"/>
    <xf numFmtId="165" fontId="75" fillId="0" borderId="33" applyNumberFormat="0" applyFill="0" applyAlignment="0" applyProtection="0"/>
    <xf numFmtId="165" fontId="31" fillId="0" borderId="34" applyNumberFormat="0" applyFill="0" applyAlignment="0" applyProtection="0"/>
    <xf numFmtId="165" fontId="73" fillId="0" borderId="0" applyNumberFormat="0" applyFill="0" applyBorder="0" applyAlignment="0" applyProtection="0"/>
    <xf numFmtId="165" fontId="76" fillId="0" borderId="35" applyNumberFormat="0" applyFill="0" applyAlignment="0" applyProtection="0"/>
    <xf numFmtId="165" fontId="77" fillId="0" borderId="33" applyNumberFormat="0" applyFill="0" applyAlignment="0" applyProtection="0"/>
    <xf numFmtId="165" fontId="78" fillId="0" borderId="36" applyNumberFormat="0" applyFill="0" applyAlignment="0" applyProtection="0"/>
    <xf numFmtId="165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80" fillId="0" borderId="17" applyNumberFormat="0" applyFill="0" applyAlignment="0" applyProtection="0"/>
    <xf numFmtId="0" fontId="9" fillId="0" borderId="0"/>
    <xf numFmtId="165" fontId="28" fillId="0" borderId="0" applyNumberFormat="0" applyFill="0" applyBorder="0" applyAlignment="0" applyProtection="0"/>
    <xf numFmtId="0" fontId="9" fillId="0" borderId="0" applyNumberFormat="0" applyFont="0" applyFill="0" applyBorder="0" applyProtection="0">
      <alignment wrapText="1"/>
    </xf>
    <xf numFmtId="14" fontId="20" fillId="0" borderId="0" applyFont="0" applyFill="0" applyBorder="0" applyProtection="0"/>
    <xf numFmtId="181" fontId="23" fillId="0" borderId="0" applyFont="0" applyFill="0" applyBorder="0" applyProtection="0">
      <alignment horizontal="right"/>
    </xf>
    <xf numFmtId="165" fontId="81" fillId="26" borderId="16" applyNumberFormat="0" applyAlignment="0" applyProtection="0"/>
    <xf numFmtId="165" fontId="81" fillId="37" borderId="16" applyNumberFormat="0" applyAlignment="0" applyProtection="0"/>
    <xf numFmtId="3" fontId="36" fillId="0" borderId="37">
      <protection hidden="1"/>
    </xf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3" fillId="2" borderId="3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0" fillId="0" borderId="5" xfId="0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0" xfId="0" applyFont="1" applyFill="1"/>
    <xf numFmtId="0" fontId="4" fillId="4" borderId="5" xfId="0" applyFont="1" applyFill="1" applyBorder="1"/>
    <xf numFmtId="0" fontId="5" fillId="0" borderId="0" xfId="0" applyFont="1"/>
    <xf numFmtId="37" fontId="0" fillId="0" borderId="0" xfId="0" applyNumberFormat="1"/>
    <xf numFmtId="37" fontId="6" fillId="0" borderId="0" xfId="0" applyNumberFormat="1" applyFont="1"/>
    <xf numFmtId="0" fontId="0" fillId="0" borderId="9" xfId="0" applyBorder="1"/>
    <xf numFmtId="37" fontId="6" fillId="0" borderId="9" xfId="0" applyNumberFormat="1" applyFont="1" applyBorder="1"/>
    <xf numFmtId="5" fontId="0" fillId="0" borderId="0" xfId="0" applyNumberFormat="1"/>
    <xf numFmtId="5" fontId="0" fillId="0" borderId="9" xfId="0" applyNumberFormat="1" applyBorder="1"/>
    <xf numFmtId="5" fontId="7" fillId="0" borderId="0" xfId="0" applyNumberFormat="1" applyFont="1" applyFill="1" applyBorder="1"/>
    <xf numFmtId="0" fontId="0" fillId="0" borderId="0" xfId="0" applyFont="1"/>
    <xf numFmtId="5" fontId="6" fillId="0" borderId="0" xfId="0" applyNumberFormat="1" applyFont="1"/>
    <xf numFmtId="5" fontId="6" fillId="0" borderId="9" xfId="0" applyNumberFormat="1" applyFont="1" applyBorder="1"/>
    <xf numFmtId="9" fontId="0" fillId="0" borderId="0" xfId="1" applyFont="1"/>
    <xf numFmtId="164" fontId="6" fillId="0" borderId="0" xfId="0" applyNumberFormat="1" applyFont="1" applyFill="1"/>
    <xf numFmtId="5" fontId="0" fillId="0" borderId="0" xfId="0" applyNumberFormat="1" applyFill="1"/>
    <xf numFmtId="164" fontId="6" fillId="0" borderId="0" xfId="0" applyNumberFormat="1" applyFont="1"/>
    <xf numFmtId="0" fontId="0" fillId="0" borderId="0" xfId="0" applyAlignment="1">
      <alignment horizontal="left" indent="1"/>
    </xf>
    <xf numFmtId="0" fontId="6" fillId="0" borderId="0" xfId="0" applyFont="1"/>
    <xf numFmtId="9" fontId="6" fillId="0" borderId="0" xfId="1" applyFont="1"/>
    <xf numFmtId="37" fontId="7" fillId="0" borderId="0" xfId="0" applyNumberFormat="1" applyFont="1"/>
    <xf numFmtId="37" fontId="7" fillId="0" borderId="9" xfId="0" applyNumberFormat="1" applyFont="1" applyBorder="1"/>
    <xf numFmtId="5" fontId="7" fillId="0" borderId="0" xfId="0" applyNumberFormat="1" applyFont="1"/>
    <xf numFmtId="5" fontId="7" fillId="0" borderId="9" xfId="0" applyNumberFormat="1" applyFont="1" applyBorder="1"/>
    <xf numFmtId="7" fontId="0" fillId="0" borderId="0" xfId="0" applyNumberFormat="1"/>
    <xf numFmtId="203" fontId="6" fillId="0" borderId="0" xfId="0" applyNumberFormat="1" applyFont="1"/>
  </cellXfs>
  <cellStyles count="613">
    <cellStyle name=" 1" xfId="2"/>
    <cellStyle name=" 2" xfId="3"/>
    <cellStyle name="******************************************" xfId="4"/>
    <cellStyle name="_20100115_Treiberplanung GB CSFP_V11" xfId="5"/>
    <cellStyle name="_20100115_Treiberplanung GB CSFP_V11_Detaillierung" xfId="6"/>
    <cellStyle name="_20100115_Treiberplanung GB CSFP_V11_Detaillierung_~4748235" xfId="7"/>
    <cellStyle name="_20100115_Treiberplanung GB CSFP_V11_Detaillierung_110328-1905 Detaillierung Umstrukturierungsplan v31" xfId="8"/>
    <cellStyle name="_20100115_Treiberplanung GB CSFP_V11_Detaillierung_110330-1216 Detaillierung Umstrukturierungsplan v43" xfId="9"/>
    <cellStyle name="_20100115_Treiberplanung GB CSFP_V11_Detaillierung_EVS 4th Interim - Mck RR - KHZ088 - Banks Financial data - 27 June 2011" xfId="10"/>
    <cellStyle name="_20100115_Treiberplanung GB CSFP_V11_Detaillierung_EVS 5th Interim - Mck RR - KHZ088 - Banks Financial data - 28 June 2011" xfId="11"/>
    <cellStyle name="_20100115_Treiberplanung GB CSFP_V11_Detaillierung_EVS 6th Interim - Mck RR - KHZ088 - Banks Financial data - 28 June 2011" xfId="12"/>
    <cellStyle name="_5.2.2.1 20091116 Treiberplanung Verbund Version 3" xfId="13"/>
    <cellStyle name="_5.2.2.1 20091116 Treiberplanung Verbund Version 3_Detaillierung" xfId="14"/>
    <cellStyle name="_5.2.2.1 20091116 Treiberplanung Verbund Version 3_Detaillierung_~4748235" xfId="15"/>
    <cellStyle name="_5.2.2.1 20091116 Treiberplanung Verbund Version 3_Detaillierung_110328-1905 Detaillierung Umstrukturierungsplan v31" xfId="16"/>
    <cellStyle name="_5.2.2.1 20091116 Treiberplanung Verbund Version 3_Detaillierung_110330-1216 Detaillierung Umstrukturierungsplan v43" xfId="17"/>
    <cellStyle name="_5.2.2.1 20091116 Treiberplanung Verbund Version 3_Detaillierung_EVS 4th Interim - Mck RR - KHZ088 - Banks Financial data - 27 June 2011" xfId="18"/>
    <cellStyle name="_5.2.2.1 20091116 Treiberplanung Verbund Version 3_Detaillierung_EVS 5th Interim - Mck RR - KHZ088 - Banks Financial data - 28 June 2011" xfId="19"/>
    <cellStyle name="_5.2.2.1 20091116 Treiberplanung Verbund Version 3_Detaillierung_EVS 6th Interim - Mck RR - KHZ088 - Banks Financial data - 28 June 2011" xfId="20"/>
    <cellStyle name="_Assets Master Input Sheet" xfId="21"/>
    <cellStyle name="_ASW calculator v8 -TT" xfId="22"/>
    <cellStyle name="_Cashflow" xfId="23"/>
    <cellStyle name="_CDF Treiber" xfId="24"/>
    <cellStyle name="_CDF Treiber_Detaillierung" xfId="25"/>
    <cellStyle name="_CDF Treiber_Detaillierung_~4748235" xfId="26"/>
    <cellStyle name="_CDF Treiber_Detaillierung_110328-1905 Detaillierung Umstrukturierungsplan v31" xfId="27"/>
    <cellStyle name="_CDF Treiber_Detaillierung_110330-1216 Detaillierung Umstrukturierungsplan v43" xfId="28"/>
    <cellStyle name="_CDF Treiber_Detaillierung_EVS 4th Interim - Mck RR - KHZ088 - Banks Financial data - 27 June 2011" xfId="29"/>
    <cellStyle name="_CDF Treiber_Detaillierung_EVS 5th Interim - Mck RR - KHZ088 - Banks Financial data - 28 June 2011" xfId="30"/>
    <cellStyle name="_CDF Treiber_Detaillierung_EVS 6th Interim - Mck RR - KHZ088 - Banks Financial data - 28 June 2011" xfId="31"/>
    <cellStyle name="_Diversity Score Calculator_CM Apr" xfId="32"/>
    <cellStyle name="_Ergebnisse_SoFFin_Stress V.4" xfId="33"/>
    <cellStyle name="_Ergebnisüberblick" xfId="34"/>
    <cellStyle name="_Ergebnisüberblick_Detaillierung" xfId="35"/>
    <cellStyle name="_Ergebnisüberblick_Detaillierung_~4748235" xfId="36"/>
    <cellStyle name="_Ergebnisüberblick_Detaillierung_110328-1905 Detaillierung Umstrukturierungsplan v31" xfId="37"/>
    <cellStyle name="_Ergebnisüberblick_Detaillierung_110330-1216 Detaillierung Umstrukturierungsplan v43" xfId="38"/>
    <cellStyle name="_Ergebnisüberblick_Detaillierung_EVS 4th Interim - Mck RR - KHZ088 - Banks Financial data - 27 June 2011" xfId="39"/>
    <cellStyle name="_Ergebnisüberblick_Detaillierung_EVS 5th Interim - Mck RR - KHZ088 - Banks Financial data - 28 June 2011" xfId="40"/>
    <cellStyle name="_Ergebnisüberblick_Detaillierung_EVS 6th Interim - Mck RR - KHZ088 - Banks Financial data - 28 June 2011" xfId="41"/>
    <cellStyle name="_FieldMappings" xfId="42"/>
    <cellStyle name="_FX" xfId="43"/>
    <cellStyle name="_GenYieldCurve" xfId="44"/>
    <cellStyle name="_GenYieldCurve_AUD" xfId="45"/>
    <cellStyle name="_GLS_FeesReport_June 30" xfId="46"/>
    <cellStyle name="_GLS_FeesReport_June 30_Detaillierung" xfId="47"/>
    <cellStyle name="_GLS_FeesReport_June 30_Sheet2" xfId="48"/>
    <cellStyle name="_Highlight" xfId="49"/>
    <cellStyle name="_iTraxxEurope S6 1Nov06" xfId="50"/>
    <cellStyle name="_KPMGdata" xfId="51"/>
    <cellStyle name="_Master Simulation Construction v10" xfId="52"/>
    <cellStyle name="_Masterdate_WestLB_Formati" xfId="53"/>
    <cellStyle name="_Masterdate_WestLB_Formati_~4748235" xfId="54"/>
    <cellStyle name="_Masterdate_WestLB_Formati_110324-1327 Detaillierung Umstrukturierungsplan v14" xfId="55"/>
    <cellStyle name="_Masterdate_WestLB_Formati_110324-1348 Detaillierung Umstrukturierungsplan v14" xfId="56"/>
    <cellStyle name="_Masterdate_WestLB_Formati_110324-1402 Detaillierung Umstrukturierungsplan v14" xfId="57"/>
    <cellStyle name="_Masterdate_WestLB_Formati_110324-1831 Detaillierung Umstrukturierungsplan v14" xfId="58"/>
    <cellStyle name="_Masterdate_WestLB_Formati_110328-1905 Detaillierung Umstrukturierungsplan v31" xfId="59"/>
    <cellStyle name="_Masterdate_WestLB_Formati_110329-1750 Detaillierung Umstrukturierungsplan v41" xfId="60"/>
    <cellStyle name="_Masterdate_WestLB_Formati_110329-1953 Detaillierung Umstrukturierungsplan v43" xfId="61"/>
    <cellStyle name="_Masterdate_WestLB_Formati_110330-1216 Detaillierung Umstrukturierungsplan v43" xfId="62"/>
    <cellStyle name="_Masterdate_WestLB_Formati_110331-2045 Detaillierung Umstrukturierungsplan v55" xfId="63"/>
    <cellStyle name="_Masterdate_WestLB_Formati_Basissegmente mail Bruhs_offset_9" xfId="64"/>
    <cellStyle name="_Masterdate_WestLB_Formati_Detaillierung" xfId="65"/>
    <cellStyle name="_Masterdate_WestLB_Formati_Detaillierung Umstrukturierungsplan v17" xfId="66"/>
    <cellStyle name="_Masterdate_WestLB_Formati_Detaillierung Umstrukturierungsplan v22" xfId="67"/>
    <cellStyle name="_Masterdate_WestLB_Formati_Detaillierung Umstrukturierungsplan v24" xfId="68"/>
    <cellStyle name="_Masterdate_WestLB_Formati_Detaillierung Umstrukturierungsplan v25" xfId="69"/>
    <cellStyle name="_Masterdate_WestLB_Formati_Detaillierung Umstrukturierungsplan v27" xfId="70"/>
    <cellStyle name="_Masterdate_WestLB_Formati_Detaillierung Umstrukturierungsplan v32" xfId="71"/>
    <cellStyle name="_Masterdate_WestLB_Formati_Detaillierung Umstrukturierungsplan v45_RRb" xfId="72"/>
    <cellStyle name="_Masterdate_WestLB_Formati_Detaillierung Umstrukturierungsplan v46" xfId="73"/>
    <cellStyle name="_Masterdate_WestLB_Formati_Detaillierung Umstrukturierungsplan v49b" xfId="74"/>
    <cellStyle name="_Masterdate_WestLB_Formati_Detaillierung Umstrukturierungsplan v62 Freeze 2300_a" xfId="75"/>
    <cellStyle name="_Masterdate_WestLB_Formati_Detaillierung Umstrukturierungsplan v63" xfId="76"/>
    <cellStyle name="_Masterdate_WestLB_Formati_Detaillierung Umstrukturierungsplan v66" xfId="77"/>
    <cellStyle name="_Masterdate_WestLB_Formati_Detaillierung Umstrukturierungsplan v69" xfId="78"/>
    <cellStyle name="_Masterdate_WestLB_Formati_Detaillierung Umstrukturierungsplan v71 - Modell Freeze Stand Datenraum Apr 01" xfId="79"/>
    <cellStyle name="_Masterdate_WestLB_Formati_Detaillierung Umstrukturierungsplan v73" xfId="80"/>
    <cellStyle name="_Masterdate_WestLB_Formati_Detaillierung Umstrukturierungsplan v74" xfId="81"/>
    <cellStyle name="_Masterdate_WestLB_Formati_Detaillierung Umstrukturierungsplan v8" xfId="82"/>
    <cellStyle name="_Masterdate_WestLB_Formati_Detaillierung_~4748235" xfId="83"/>
    <cellStyle name="_Masterdate_WestLB_Formati_Detaillierung_1" xfId="84"/>
    <cellStyle name="_Masterdate_WestLB_Formati_Detaillierung_110328-1905 Detaillierung Umstrukturierungsplan v31" xfId="85"/>
    <cellStyle name="_Masterdate_WestLB_Formati_Detaillierung_110330-1216 Detaillierung Umstrukturierungsplan v43" xfId="86"/>
    <cellStyle name="_Masterdate_WestLB_Formati_KRV 110325-1030 Modell Ausdetaillierung" xfId="87"/>
    <cellStyle name="_Masterdate_WestLB_Formati_UPlan_BottomUp" xfId="88"/>
    <cellStyle name="_Masterdate_WestLB_Formati_UPlanFrApr01" xfId="89"/>
    <cellStyle name="_Masterdatei_WestLB_Format_V3" xfId="90"/>
    <cellStyle name="_Masterdatei_WestLB_Format_V3_~4748235" xfId="91"/>
    <cellStyle name="_Masterdatei_WestLB_Format_V3_110324-1327 Detaillierung Umstrukturierungsplan v14" xfId="92"/>
    <cellStyle name="_Masterdatei_WestLB_Format_V3_110324-1348 Detaillierung Umstrukturierungsplan v14" xfId="93"/>
    <cellStyle name="_Masterdatei_WestLB_Format_V3_110324-1402 Detaillierung Umstrukturierungsplan v14" xfId="94"/>
    <cellStyle name="_Masterdatei_WestLB_Format_V3_110324-1831 Detaillierung Umstrukturierungsplan v14" xfId="95"/>
    <cellStyle name="_Masterdatei_WestLB_Format_V3_110328-1905 Detaillierung Umstrukturierungsplan v31" xfId="96"/>
    <cellStyle name="_Masterdatei_WestLB_Format_V3_110329-1750 Detaillierung Umstrukturierungsplan v41" xfId="97"/>
    <cellStyle name="_Masterdatei_WestLB_Format_V3_110329-1953 Detaillierung Umstrukturierungsplan v43" xfId="98"/>
    <cellStyle name="_Masterdatei_WestLB_Format_V3_110330-1216 Detaillierung Umstrukturierungsplan v43" xfId="99"/>
    <cellStyle name="_Masterdatei_WestLB_Format_V3_110331-2045 Detaillierung Umstrukturierungsplan v55" xfId="100"/>
    <cellStyle name="_Masterdatei_WestLB_Format_V3_Basissegmente mail Bruhs_offset_9" xfId="101"/>
    <cellStyle name="_Masterdatei_WestLB_Format_V3_Detaillierung" xfId="102"/>
    <cellStyle name="_Masterdatei_WestLB_Format_V3_Detaillierung Umstrukturierungsplan v17" xfId="103"/>
    <cellStyle name="_Masterdatei_WestLB_Format_V3_Detaillierung Umstrukturierungsplan v22" xfId="104"/>
    <cellStyle name="_Masterdatei_WestLB_Format_V3_Detaillierung Umstrukturierungsplan v24" xfId="105"/>
    <cellStyle name="_Masterdatei_WestLB_Format_V3_Detaillierung Umstrukturierungsplan v25" xfId="106"/>
    <cellStyle name="_Masterdatei_WestLB_Format_V3_Detaillierung Umstrukturierungsplan v27" xfId="107"/>
    <cellStyle name="_Masterdatei_WestLB_Format_V3_Detaillierung Umstrukturierungsplan v32" xfId="108"/>
    <cellStyle name="_Masterdatei_WestLB_Format_V3_Detaillierung Umstrukturierungsplan v45_RRb" xfId="109"/>
    <cellStyle name="_Masterdatei_WestLB_Format_V3_Detaillierung Umstrukturierungsplan v46" xfId="110"/>
    <cellStyle name="_Masterdatei_WestLB_Format_V3_Detaillierung Umstrukturierungsplan v49b" xfId="111"/>
    <cellStyle name="_Masterdatei_WestLB_Format_V3_Detaillierung Umstrukturierungsplan v62 Freeze 2300_a" xfId="112"/>
    <cellStyle name="_Masterdatei_WestLB_Format_V3_Detaillierung Umstrukturierungsplan v63" xfId="113"/>
    <cellStyle name="_Masterdatei_WestLB_Format_V3_Detaillierung Umstrukturierungsplan v66" xfId="114"/>
    <cellStyle name="_Masterdatei_WestLB_Format_V3_Detaillierung Umstrukturierungsplan v69" xfId="115"/>
    <cellStyle name="_Masterdatei_WestLB_Format_V3_Detaillierung Umstrukturierungsplan v71 - Modell Freeze Stand Datenraum Apr 01" xfId="116"/>
    <cellStyle name="_Masterdatei_WestLB_Format_V3_Detaillierung Umstrukturierungsplan v73" xfId="117"/>
    <cellStyle name="_Masterdatei_WestLB_Format_V3_Detaillierung Umstrukturierungsplan v74" xfId="118"/>
    <cellStyle name="_Masterdatei_WestLB_Format_V3_Detaillierung Umstrukturierungsplan v8" xfId="119"/>
    <cellStyle name="_Masterdatei_WestLB_Format_V3_Detaillierung_~4748235" xfId="120"/>
    <cellStyle name="_Masterdatei_WestLB_Format_V3_Detaillierung_1" xfId="121"/>
    <cellStyle name="_Masterdatei_WestLB_Format_V3_Detaillierung_110328-1905 Detaillierung Umstrukturierungsplan v31" xfId="122"/>
    <cellStyle name="_Masterdatei_WestLB_Format_V3_Detaillierung_110330-1216 Detaillierung Umstrukturierungsplan v43" xfId="123"/>
    <cellStyle name="_Masterdatei_WestLB_Format_V3_KRV 110325-1030 Modell Ausdetaillierung" xfId="124"/>
    <cellStyle name="_Masterdatei_WestLB_Format_V3_UPlan_BottomUp" xfId="125"/>
    <cellStyle name="_Masterdatei_WestLB_Format_V3_UPlanFrApr01" xfId="126"/>
    <cellStyle name="_Migration" xfId="127"/>
    <cellStyle name="_Origination Weekly 8.24.07EURO" xfId="128"/>
    <cellStyle name="_Origination Weekly 8.24.07EURO_Detaillierung" xfId="129"/>
    <cellStyle name="_Origination Weekly 8.24.07EURO_Sheet2" xfId="130"/>
    <cellStyle name="_PEG Master COB 30 Sep 2009 v9c" xfId="131"/>
    <cellStyle name="_PEG_Master COB_V3_KWG UA &amp; Konsgrade_Stand 10.03.2010" xfId="132"/>
    <cellStyle name="_Phoenix_Portfolio_20080229_v16" xfId="133"/>
    <cellStyle name="_Risikobetrachtung GB" xfId="134"/>
    <cellStyle name="_Risikobetrachtung GB_Detaillierung" xfId="135"/>
    <cellStyle name="_Risikobetrachtung GB_Detaillierung_~4748235" xfId="136"/>
    <cellStyle name="_Risikobetrachtung GB_Detaillierung_110328-1905 Detaillierung Umstrukturierungsplan v31" xfId="137"/>
    <cellStyle name="_Risikobetrachtung GB_Detaillierung_110330-1216 Detaillierung Umstrukturierungsplan v43" xfId="138"/>
    <cellStyle name="_Risikobetrachtung GB_Detaillierung_EVS 4th Interim - Mck RR - KHZ088 - Banks Financial data - 27 June 2011" xfId="139"/>
    <cellStyle name="_Risikobetrachtung GB_Detaillierung_EVS 5th Interim - Mck RR - KHZ088 - Banks Financial data - 28 June 2011" xfId="140"/>
    <cellStyle name="_Risikobetrachtung GB_Detaillierung_EVS 6th Interim - Mck RR - KHZ088 - Banks Financial data - 28 June 2011" xfId="141"/>
    <cellStyle name="_Sheet1" xfId="142"/>
    <cellStyle name="_Sheet3" xfId="143"/>
    <cellStyle name="_Sheet3_Detaillierung" xfId="144"/>
    <cellStyle name="_Sheet3_Sheet2" xfId="145"/>
    <cellStyle name="_Silver_Dawn_Spreads" xfId="146"/>
    <cellStyle name="_Template_Structured_Product_Analysisv3" xfId="147"/>
    <cellStyle name="_TransferPrice" xfId="148"/>
    <cellStyle name="_Treiberplanung GB SF_V02" xfId="149"/>
    <cellStyle name="_Treiberplanung GB SF_V02_Detaillierung" xfId="150"/>
    <cellStyle name="_Treiberplanung GB SF_V02_Detaillierung_~4748235" xfId="151"/>
    <cellStyle name="_Treiberplanung GB SF_V02_Detaillierung_110328-1905 Detaillierung Umstrukturierungsplan v31" xfId="152"/>
    <cellStyle name="_Treiberplanung GB SF_V02_Detaillierung_110330-1216 Detaillierung Umstrukturierungsplan v43" xfId="153"/>
    <cellStyle name="_Treiberplanung GB SF_V02_Detaillierung_EVS 4th Interim - Mck RR - KHZ088 - Banks Financial data - 27 June 2011" xfId="154"/>
    <cellStyle name="_Treiberplanung GB SF_V02_Detaillierung_EVS 5th Interim - Mck RR - KHZ088 - Banks Financial data - 28 June 2011" xfId="155"/>
    <cellStyle name="_Treiberplanung GB SF_V02_Detaillierung_EVS 6th Interim - Mck RR - KHZ088 - Banks Financial data - 28 June 2011" xfId="156"/>
    <cellStyle name="_Treiberplanung KMG" xfId="157"/>
    <cellStyle name="_Treiberplanung KMG_~4748235" xfId="158"/>
    <cellStyle name="_Treiberplanung KMG_110328-1905 Detaillierung Umstrukturierungsplan v31" xfId="159"/>
    <cellStyle name="_Treiberplanung KMG_110330-1216 Detaillierung Umstrukturierungsplan v43" xfId="160"/>
    <cellStyle name="_Treiberplanung KMG_EVS 4th Interim - Mck RR - KHZ088 - Banks Financial data - 27 June 2011" xfId="161"/>
    <cellStyle name="_Treiberplanung KMG_EVS 5th Interim - Mck RR - KHZ088 - Banks Financial data - 28 June 2011" xfId="162"/>
    <cellStyle name="_Treiberplanung KMG_EVS 6th Interim - Mck RR - KHZ088 - Banks Financial data - 28 June 2011" xfId="163"/>
    <cellStyle name="_VA nach Kostenarten" xfId="164"/>
    <cellStyle name="_VA nach Kostenarten_~4748235" xfId="165"/>
    <cellStyle name="_VA nach Kostenarten_110324-1327 Detaillierung Umstrukturierungsplan v14" xfId="166"/>
    <cellStyle name="_VA nach Kostenarten_110324-1348 Detaillierung Umstrukturierungsplan v14" xfId="167"/>
    <cellStyle name="_VA nach Kostenarten_110324-1402 Detaillierung Umstrukturierungsplan v14" xfId="168"/>
    <cellStyle name="_VA nach Kostenarten_110324-1831 Detaillierung Umstrukturierungsplan v14" xfId="169"/>
    <cellStyle name="_VA nach Kostenarten_110328-1905 Detaillierung Umstrukturierungsplan v31" xfId="170"/>
    <cellStyle name="_VA nach Kostenarten_110329-1750 Detaillierung Umstrukturierungsplan v41" xfId="171"/>
    <cellStyle name="_VA nach Kostenarten_110329-1953 Detaillierung Umstrukturierungsplan v43" xfId="172"/>
    <cellStyle name="_VA nach Kostenarten_110330-1216 Detaillierung Umstrukturierungsplan v43" xfId="173"/>
    <cellStyle name="_VA nach Kostenarten_110331-2045 Detaillierung Umstrukturierungsplan v55" xfId="174"/>
    <cellStyle name="_VA nach Kostenarten_Basissegmente mail Bruhs_offset_9" xfId="175"/>
    <cellStyle name="_VA nach Kostenarten_Detaillierung" xfId="176"/>
    <cellStyle name="_VA nach Kostenarten_Detaillierung Umstrukturierungsplan v17" xfId="177"/>
    <cellStyle name="_VA nach Kostenarten_Detaillierung Umstrukturierungsplan v22" xfId="178"/>
    <cellStyle name="_VA nach Kostenarten_Detaillierung Umstrukturierungsplan v24" xfId="179"/>
    <cellStyle name="_VA nach Kostenarten_Detaillierung Umstrukturierungsplan v25" xfId="180"/>
    <cellStyle name="_VA nach Kostenarten_Detaillierung Umstrukturierungsplan v27" xfId="181"/>
    <cellStyle name="_VA nach Kostenarten_Detaillierung Umstrukturierungsplan v32" xfId="182"/>
    <cellStyle name="_VA nach Kostenarten_Detaillierung Umstrukturierungsplan v45_RRb" xfId="183"/>
    <cellStyle name="_VA nach Kostenarten_Detaillierung Umstrukturierungsplan v46" xfId="184"/>
    <cellStyle name="_VA nach Kostenarten_Detaillierung Umstrukturierungsplan v49b" xfId="185"/>
    <cellStyle name="_VA nach Kostenarten_Detaillierung Umstrukturierungsplan v62 Freeze 2300_a" xfId="186"/>
    <cellStyle name="_VA nach Kostenarten_Detaillierung Umstrukturierungsplan v63" xfId="187"/>
    <cellStyle name="_VA nach Kostenarten_Detaillierung Umstrukturierungsplan v66" xfId="188"/>
    <cellStyle name="_VA nach Kostenarten_Detaillierung Umstrukturierungsplan v69" xfId="189"/>
    <cellStyle name="_VA nach Kostenarten_Detaillierung Umstrukturierungsplan v71 - Modell Freeze Stand Datenraum Apr 01" xfId="190"/>
    <cellStyle name="_VA nach Kostenarten_Detaillierung Umstrukturierungsplan v73" xfId="191"/>
    <cellStyle name="_VA nach Kostenarten_Detaillierung Umstrukturierungsplan v74" xfId="192"/>
    <cellStyle name="_VA nach Kostenarten_Detaillierung Umstrukturierungsplan v8" xfId="193"/>
    <cellStyle name="_VA nach Kostenarten_Detaillierung_~4748235" xfId="194"/>
    <cellStyle name="_VA nach Kostenarten_Detaillierung_1" xfId="195"/>
    <cellStyle name="_VA nach Kostenarten_Detaillierung_110328-1905 Detaillierung Umstrukturierungsplan v31" xfId="196"/>
    <cellStyle name="_VA nach Kostenarten_Detaillierung_110330-1216 Detaillierung Umstrukturierungsplan v43" xfId="197"/>
    <cellStyle name="_VA nach Kostenarten_KRV 110325-1030 Modell Ausdetaillierung" xfId="198"/>
    <cellStyle name="_VA nach Kostenarten_UPlan_BottomUp" xfId="199"/>
    <cellStyle name="_VA nach Kostenarten_UPlanFrApr01" xfId="200"/>
    <cellStyle name="_VAK nach Teams" xfId="201"/>
    <cellStyle name="_VAK nach Teams_Detaillierung" xfId="202"/>
    <cellStyle name="_VAK nach Teams_Detaillierung_~4748235" xfId="203"/>
    <cellStyle name="_VAK nach Teams_Detaillierung_110328-1905 Detaillierung Umstrukturierungsplan v31" xfId="204"/>
    <cellStyle name="_VAK nach Teams_Detaillierung_110330-1216 Detaillierung Umstrukturierungsplan v43" xfId="205"/>
    <cellStyle name="_VAK nach Teams_Detaillierung_EVS 4th Interim - Mck RR - KHZ088 - Banks Financial data - 27 June 2011" xfId="206"/>
    <cellStyle name="_VAK nach Teams_Detaillierung_EVS 5th Interim - Mck RR - KHZ088 - Banks Financial data - 28 June 2011" xfId="207"/>
    <cellStyle name="_VAK nach Teams_Detaillierung_EVS 6th Interim - Mck RR - KHZ088 - Banks Financial data - 28 June 2011" xfId="208"/>
    <cellStyle name="_WARF RATING SCALES" xfId="209"/>
    <cellStyle name="£ BP" xfId="210"/>
    <cellStyle name="¥ JY" xfId="211"/>
    <cellStyle name="=C:\WINNT35\SYSTEM32\COMMAND.COM" xfId="212"/>
    <cellStyle name="=D:\WINNT\SYSTEM32\COMMAND.COM" xfId="213"/>
    <cellStyle name="1,comma" xfId="214"/>
    <cellStyle name="20% - Akzent1" xfId="215"/>
    <cellStyle name="20% - Akzent2" xfId="216"/>
    <cellStyle name="20% - Akzent3" xfId="217"/>
    <cellStyle name="20% - Akzent4" xfId="218"/>
    <cellStyle name="20% - Akzent5" xfId="219"/>
    <cellStyle name="20% - Akzent6" xfId="220"/>
    <cellStyle name="20% - Énfasis2" xfId="221"/>
    <cellStyle name="20% - Énfasis3" xfId="222"/>
    <cellStyle name="20% - Énfasis4" xfId="223"/>
    <cellStyle name="20% - Énfasis5" xfId="224"/>
    <cellStyle name="20% - Énfasis6" xfId="225"/>
    <cellStyle name="40% - Akzent1" xfId="226"/>
    <cellStyle name="40% - Akzent2" xfId="227"/>
    <cellStyle name="40% - Akzent3" xfId="228"/>
    <cellStyle name="40% - Akzent4" xfId="229"/>
    <cellStyle name="40% - Akzent5" xfId="230"/>
    <cellStyle name="40% - Akzent6" xfId="231"/>
    <cellStyle name="40% - Énfasis1" xfId="232"/>
    <cellStyle name="40% - Énfasis2" xfId="233"/>
    <cellStyle name="40% - Énfasis3" xfId="234"/>
    <cellStyle name="40% - Énfasis4" xfId="235"/>
    <cellStyle name="40% - Énfasis5" xfId="236"/>
    <cellStyle name="40% - Énfasis6" xfId="237"/>
    <cellStyle name="60% - Akzent1" xfId="238"/>
    <cellStyle name="60% - Akzent2" xfId="239"/>
    <cellStyle name="60% - Akzent3" xfId="240"/>
    <cellStyle name="60% - Akzent4" xfId="241"/>
    <cellStyle name="60% - Akzent5" xfId="242"/>
    <cellStyle name="60% - Akzent6" xfId="243"/>
    <cellStyle name="60% - Énfasis1" xfId="244"/>
    <cellStyle name="60% - Énfasis2" xfId="245"/>
    <cellStyle name="60% - Énfasis3" xfId="246"/>
    <cellStyle name="60% - Énfasis4" xfId="247"/>
    <cellStyle name="60% - Énfasis5" xfId="248"/>
    <cellStyle name="60% - Énfasis6" xfId="249"/>
    <cellStyle name="active" xfId="250"/>
    <cellStyle name="Akzent1" xfId="251"/>
    <cellStyle name="Akzent1 - 20%" xfId="252"/>
    <cellStyle name="Akzent1 - 40%" xfId="253"/>
    <cellStyle name="Akzent1 - 60%" xfId="254"/>
    <cellStyle name="Akzent1_Detaillierung" xfId="255"/>
    <cellStyle name="Akzent2" xfId="256"/>
    <cellStyle name="Akzent2 - 20%" xfId="257"/>
    <cellStyle name="Akzent2 - 40%" xfId="258"/>
    <cellStyle name="Akzent2 - 60%" xfId="259"/>
    <cellStyle name="Akzent2_Detaillierung" xfId="260"/>
    <cellStyle name="Akzent3" xfId="261"/>
    <cellStyle name="Akzent3 - 20%" xfId="262"/>
    <cellStyle name="Akzent3 - 40%" xfId="263"/>
    <cellStyle name="Akzent3 - 60%" xfId="264"/>
    <cellStyle name="Akzent3_Detaillierung" xfId="265"/>
    <cellStyle name="Akzent4" xfId="266"/>
    <cellStyle name="Akzent4 - 20%" xfId="267"/>
    <cellStyle name="Akzent4 - 40%" xfId="268"/>
    <cellStyle name="Akzent4 - 60%" xfId="269"/>
    <cellStyle name="Akzent4_Detaillierung" xfId="270"/>
    <cellStyle name="Akzent5" xfId="271"/>
    <cellStyle name="Akzent5 - 20%" xfId="272"/>
    <cellStyle name="Akzent5 - 40%" xfId="273"/>
    <cellStyle name="Akzent5 - 60%" xfId="274"/>
    <cellStyle name="Akzent5_Detaillierung" xfId="275"/>
    <cellStyle name="Akzent6" xfId="276"/>
    <cellStyle name="Akzent6 - 20%" xfId="277"/>
    <cellStyle name="Akzent6 - 40%" xfId="278"/>
    <cellStyle name="Akzent6 - 60%" xfId="279"/>
    <cellStyle name="Akzent6_Detaillierung" xfId="280"/>
    <cellStyle name="ALIB Output" xfId="281"/>
    <cellStyle name="Arial 11 + fett" xfId="282"/>
    <cellStyle name="Ausgabe" xfId="283"/>
    <cellStyle name="AutoFormat Options" xfId="284"/>
    <cellStyle name="b" xfId="285"/>
    <cellStyle name="Background" xfId="286"/>
    <cellStyle name="Basis Points" xfId="287"/>
    <cellStyle name="Berechnung" xfId="288"/>
    <cellStyle name="Bericht" xfId="289"/>
    <cellStyle name="Bericht1" xfId="290"/>
    <cellStyle name="Blank" xfId="291"/>
    <cellStyle name="BlankedZeros" xfId="292"/>
    <cellStyle name="Blankinput" xfId="293"/>
    <cellStyle name="Blattüberschrift" xfId="294"/>
    <cellStyle name="Blue" xfId="295"/>
    <cellStyle name="Bold/Border" xfId="296"/>
    <cellStyle name="Border Heavy" xfId="297"/>
    <cellStyle name="Border Thin" xfId="298"/>
    <cellStyle name="Buena" xfId="299"/>
    <cellStyle name="Bullet" xfId="300"/>
    <cellStyle name="Cálculo" xfId="301"/>
    <cellStyle name="Celda de comprobación" xfId="302"/>
    <cellStyle name="Celda vinculada" xfId="303"/>
    <cellStyle name="checkExposure" xfId="304"/>
    <cellStyle name="Comma  - Style1" xfId="305"/>
    <cellStyle name="Comma  - Style2" xfId="306"/>
    <cellStyle name="Comma  - Style3" xfId="307"/>
    <cellStyle name="Comma  - Style4" xfId="308"/>
    <cellStyle name="Comma  - Style5" xfId="309"/>
    <cellStyle name="Comma  - Style6" xfId="310"/>
    <cellStyle name="Comma  - Style7" xfId="311"/>
    <cellStyle name="Comma  - Style8" xfId="312"/>
    <cellStyle name="Comma 2" xfId="313"/>
    <cellStyle name="Comma 3" xfId="314"/>
    <cellStyle name="Constant (do not change)" xfId="315"/>
    <cellStyle name="d" xfId="316"/>
    <cellStyle name="Dash" xfId="317"/>
    <cellStyle name="Date" xfId="318"/>
    <cellStyle name="Dezimal [0,0]" xfId="319"/>
    <cellStyle name="Dezimal(0,00)" xfId="320"/>
    <cellStyle name="Eingabe" xfId="321"/>
    <cellStyle name="Encabezado 4" xfId="322"/>
    <cellStyle name="Énfasis1" xfId="323"/>
    <cellStyle name="Énfasis2" xfId="324"/>
    <cellStyle name="Énfasis3" xfId="325"/>
    <cellStyle name="Énfasis4" xfId="326"/>
    <cellStyle name="Énfasis5" xfId="327"/>
    <cellStyle name="Énfasis6" xfId="328"/>
    <cellStyle name="Entrada" xfId="329"/>
    <cellStyle name="Ergebnis" xfId="330"/>
    <cellStyle name="Erklärender Text" xfId="331"/>
    <cellStyle name="Euro" xfId="332"/>
    <cellStyle name="fact_Feuil1 (8)" xfId="333"/>
    <cellStyle name="Figs0dec" xfId="334"/>
    <cellStyle name="Figs1dec" xfId="335"/>
    <cellStyle name="Grey" xfId="336"/>
    <cellStyle name="GreybarHeader" xfId="337"/>
    <cellStyle name="greyed" xfId="338"/>
    <cellStyle name="Gut" xfId="339"/>
    <cellStyle name="hard" xfId="340"/>
    <cellStyle name="Header1" xfId="341"/>
    <cellStyle name="Header2" xfId="342"/>
    <cellStyle name="Heading" xfId="343"/>
    <cellStyle name="HeadingTable" xfId="344"/>
    <cellStyle name="Hervorhebung 1" xfId="345"/>
    <cellStyle name="Hervorhebung 2" xfId="346"/>
    <cellStyle name="Hervorhebung 3" xfId="347"/>
    <cellStyle name="highlightExposure" xfId="348"/>
    <cellStyle name="highlightPD" xfId="349"/>
    <cellStyle name="highlightPercentage" xfId="350"/>
    <cellStyle name="highlightText" xfId="351"/>
    <cellStyle name="Historical" xfId="352"/>
    <cellStyle name="hotlinks" xfId="353"/>
    <cellStyle name="Incorrecto" xfId="354"/>
    <cellStyle name="Input [yellow]" xfId="355"/>
    <cellStyle name="Input Basis Points" xfId="356"/>
    <cellStyle name="Input Comma" xfId="357"/>
    <cellStyle name="Input Currency" xfId="358"/>
    <cellStyle name="Input Date" xfId="359"/>
    <cellStyle name="Input Integer" xfId="360"/>
    <cellStyle name="Input Multiple" xfId="361"/>
    <cellStyle name="Input Normal" xfId="362"/>
    <cellStyle name="Input Percent" xfId="363"/>
    <cellStyle name="Input Percentage" xfId="364"/>
    <cellStyle name="Input Times" xfId="365"/>
    <cellStyle name="Inputcell" xfId="366"/>
    <cellStyle name="inputDate" xfId="367"/>
    <cellStyle name="inputExposure" xfId="368"/>
    <cellStyle name="inputMaturity" xfId="369"/>
    <cellStyle name="inputParameterE" xfId="370"/>
    <cellStyle name="inputPD" xfId="371"/>
    <cellStyle name="inputPercentage" xfId="372"/>
    <cellStyle name="inputPercentageL" xfId="373"/>
    <cellStyle name="inputPercentageS" xfId="374"/>
    <cellStyle name="Inputs" xfId="375"/>
    <cellStyle name="inputSelection" xfId="376"/>
    <cellStyle name="inputText" xfId="377"/>
    <cellStyle name="Integer" xfId="378"/>
    <cellStyle name="ItalicHeader" xfId="379"/>
    <cellStyle name="KPMG Heading 1" xfId="380"/>
    <cellStyle name="KPMG Heading 2" xfId="381"/>
    <cellStyle name="KPMG Heading 3" xfId="382"/>
    <cellStyle name="KPMG Heading 4" xfId="383"/>
    <cellStyle name="KPMG Normal" xfId="384"/>
    <cellStyle name="KPMG Normal Text" xfId="385"/>
    <cellStyle name="Label" xfId="386"/>
    <cellStyle name="Link" xfId="387"/>
    <cellStyle name="m" xfId="388"/>
    <cellStyle name="m_slide data v15 Eurohypo 2004 26 Jan" xfId="389"/>
    <cellStyle name="Milliers [0]_3A_NumeratorReport_Option1_040611" xfId="390"/>
    <cellStyle name="Milliers_3A_NumeratorReport_Option1_040611" xfId="391"/>
    <cellStyle name="Monétaire [0]_3A_NumeratorReport_Option1_040611" xfId="392"/>
    <cellStyle name="Monétaire_3A_NumeratorReport_Option1_040611" xfId="393"/>
    <cellStyle name="Morgan Blue" xfId="394"/>
    <cellStyle name="Multiple" xfId="395"/>
    <cellStyle name="Multiples" xfId="396"/>
    <cellStyle name="NoDecimal" xfId="397"/>
    <cellStyle name="Normal" xfId="0" builtinId="0"/>
    <cellStyle name="Normal - Style1" xfId="398"/>
    <cellStyle name="Normal 10" xfId="399"/>
    <cellStyle name="Normal 11" xfId="400"/>
    <cellStyle name="Normal 12" xfId="401"/>
    <cellStyle name="Normal 2" xfId="402"/>
    <cellStyle name="Normal 2 2" xfId="403"/>
    <cellStyle name="Normal 3" xfId="404"/>
    <cellStyle name="Normal 3 2" xfId="405"/>
    <cellStyle name="Normal 3_~4748235" xfId="406"/>
    <cellStyle name="Normal 4" xfId="407"/>
    <cellStyle name="Normal 5" xfId="408"/>
    <cellStyle name="Normal 6" xfId="409"/>
    <cellStyle name="Normal 7" xfId="410"/>
    <cellStyle name="Normal 7 2" xfId="411"/>
    <cellStyle name="Normal 7_~4748235" xfId="412"/>
    <cellStyle name="Normal 8" xfId="413"/>
    <cellStyle name="Normal 9" xfId="414"/>
    <cellStyle name="Normale_AuM&amp;Pool_LF" xfId="415"/>
    <cellStyle name="Notas" xfId="416"/>
    <cellStyle name="Notes" xfId="417"/>
    <cellStyle name="Notiz" xfId="418"/>
    <cellStyle name="Object" xfId="419"/>
    <cellStyle name="optionalExposure" xfId="420"/>
    <cellStyle name="optionalMaturity" xfId="421"/>
    <cellStyle name="optionalPD" xfId="422"/>
    <cellStyle name="optionalPercentage" xfId="423"/>
    <cellStyle name="optionalPercentageS" xfId="424"/>
    <cellStyle name="optionalSelection" xfId="425"/>
    <cellStyle name="optionalText" xfId="426"/>
    <cellStyle name="p" xfId="427"/>
    <cellStyle name="p_~4748235" xfId="428"/>
    <cellStyle name="p_110324-1327 Detaillierung Umstrukturierungsplan v14" xfId="429"/>
    <cellStyle name="p_110324-1348 Detaillierung Umstrukturierungsplan v14" xfId="430"/>
    <cellStyle name="p_110324-1402 Detaillierung Umstrukturierungsplan v14" xfId="431"/>
    <cellStyle name="p_110324-1831 Detaillierung Umstrukturierungsplan v14" xfId="432"/>
    <cellStyle name="p_110328-1905 Detaillierung Umstrukturierungsplan v31" xfId="433"/>
    <cellStyle name="p_110329-1750 Detaillierung Umstrukturierungsplan v41" xfId="434"/>
    <cellStyle name="p_110329-1953 Detaillierung Umstrukturierungsplan v43" xfId="435"/>
    <cellStyle name="p_110330-1216 Detaillierung Umstrukturierungsplan v43" xfId="436"/>
    <cellStyle name="p_110331-2045 Detaillierung Umstrukturierungsplan v55" xfId="437"/>
    <cellStyle name="p_Basissegmente mail Bruhs_offset_9" xfId="438"/>
    <cellStyle name="p_Detaillierung" xfId="439"/>
    <cellStyle name="p_Detaillierung Umstrukturierungsplan v17" xfId="440"/>
    <cellStyle name="p_Detaillierung Umstrukturierungsplan v22" xfId="441"/>
    <cellStyle name="p_Detaillierung Umstrukturierungsplan v24" xfId="442"/>
    <cellStyle name="p_Detaillierung Umstrukturierungsplan v25" xfId="443"/>
    <cellStyle name="p_Detaillierung Umstrukturierungsplan v27" xfId="444"/>
    <cellStyle name="p_Detaillierung Umstrukturierungsplan v32" xfId="445"/>
    <cellStyle name="p_Detaillierung Umstrukturierungsplan v45_RRb" xfId="446"/>
    <cellStyle name="p_Detaillierung Umstrukturierungsplan v46" xfId="447"/>
    <cellStyle name="p_Detaillierung Umstrukturierungsplan v49b" xfId="448"/>
    <cellStyle name="p_Detaillierung Umstrukturierungsplan v62 Freeze 2300_a" xfId="449"/>
    <cellStyle name="p_Detaillierung Umstrukturierungsplan v63" xfId="450"/>
    <cellStyle name="p_Detaillierung Umstrukturierungsplan v66" xfId="451"/>
    <cellStyle name="p_Detaillierung Umstrukturierungsplan v69" xfId="452"/>
    <cellStyle name="p_Detaillierung Umstrukturierungsplan v71 - Modell Freeze Stand Datenraum Apr 01" xfId="453"/>
    <cellStyle name="p_Detaillierung Umstrukturierungsplan v73" xfId="454"/>
    <cellStyle name="p_Detaillierung Umstrukturierungsplan v74" xfId="455"/>
    <cellStyle name="p_Detaillierung Umstrukturierungsplan v8" xfId="456"/>
    <cellStyle name="p_Detaillierung_~4748235" xfId="457"/>
    <cellStyle name="p_Detaillierung_1" xfId="458"/>
    <cellStyle name="p_Detaillierung_110328-1905 Detaillierung Umstrukturierungsplan v31" xfId="459"/>
    <cellStyle name="p_Detaillierung_110330-1216 Detaillierung Umstrukturierungsplan v43" xfId="460"/>
    <cellStyle name="p_KRV 110325-1030 Modell Ausdetaillierung" xfId="461"/>
    <cellStyle name="p_UPlan_BottomUp" xfId="462"/>
    <cellStyle name="p_UPlanFrApr01" xfId="463"/>
    <cellStyle name="Page Heading Large" xfId="464"/>
    <cellStyle name="Page Heading Small" xfId="465"/>
    <cellStyle name="Percent" xfId="1" builtinId="5"/>
    <cellStyle name="Percent [2]" xfId="466"/>
    <cellStyle name="Percent 2" xfId="467"/>
    <cellStyle name="Percent 3" xfId="468"/>
    <cellStyle name="Percent 4" xfId="469"/>
    <cellStyle name="Percent 5" xfId="470"/>
    <cellStyle name="Percent 6" xfId="471"/>
    <cellStyle name="Percent Hard" xfId="472"/>
    <cellStyle name="Percentage Outputs" xfId="473"/>
    <cellStyle name="Prozent 2" xfId="474"/>
    <cellStyle name="Prozent(%)" xfId="475"/>
    <cellStyle name="PSG" xfId="476"/>
    <cellStyle name="Remark" xfId="477"/>
    <cellStyle name="Salida" xfId="478"/>
    <cellStyle name="SAPBEXaggData" xfId="479"/>
    <cellStyle name="SAPBEXaggDataEmph" xfId="480"/>
    <cellStyle name="SAPBEXaggItem" xfId="481"/>
    <cellStyle name="SAPBEXaggItemX" xfId="482"/>
    <cellStyle name="SAPBEXchaText" xfId="483"/>
    <cellStyle name="SAPBEXchaText 2" xfId="484"/>
    <cellStyle name="SAPBEXchaText_Detaillierung" xfId="485"/>
    <cellStyle name="SAPBEXexcBad7" xfId="486"/>
    <cellStyle name="SAPBEXexcBad8" xfId="487"/>
    <cellStyle name="SAPBEXexcBad9" xfId="488"/>
    <cellStyle name="SAPBEXexcCritical4" xfId="489"/>
    <cellStyle name="SAPBEXexcCritical5" xfId="490"/>
    <cellStyle name="SAPBEXexcCritical6" xfId="491"/>
    <cellStyle name="SAPBEXexcGood1" xfId="492"/>
    <cellStyle name="SAPBEXexcGood2" xfId="493"/>
    <cellStyle name="SAPBEXexcGood3" xfId="494"/>
    <cellStyle name="SAPBEXfilterDrill" xfId="495"/>
    <cellStyle name="SAPBEXfilterDrill 2" xfId="496"/>
    <cellStyle name="SAPBEXfilterDrill_Detaillierung" xfId="497"/>
    <cellStyle name="SAPBEXfilterItem" xfId="498"/>
    <cellStyle name="SAPBEXfilterText" xfId="499"/>
    <cellStyle name="SAPBEXformats" xfId="500"/>
    <cellStyle name="SAPBEXformats 2" xfId="501"/>
    <cellStyle name="SAPBEXformats_Detaillierung" xfId="502"/>
    <cellStyle name="SAPBEXheaderItem" xfId="503"/>
    <cellStyle name="SAPBEXheaderItem 2" xfId="504"/>
    <cellStyle name="SAPBEXheaderItem_Detaillierung" xfId="505"/>
    <cellStyle name="SAPBEXheaderText" xfId="506"/>
    <cellStyle name="SAPBEXheaderText 2" xfId="507"/>
    <cellStyle name="SAPBEXheaderText_Detaillierung" xfId="508"/>
    <cellStyle name="SAPBEXHLevel0" xfId="509"/>
    <cellStyle name="SAPBEXHLevel0 2" xfId="510"/>
    <cellStyle name="SAPBEXHLevel0_Detaillierung" xfId="511"/>
    <cellStyle name="SAPBEXHLevel0X" xfId="512"/>
    <cellStyle name="SAPBEXHLevel1" xfId="513"/>
    <cellStyle name="SAPBEXHLevel1 2" xfId="514"/>
    <cellStyle name="SAPBEXHLevel1 3" xfId="515"/>
    <cellStyle name="SAPBEXHLevel1 4" xfId="516"/>
    <cellStyle name="SAPBEXHLevel1_Detaillierung" xfId="517"/>
    <cellStyle name="SAPBEXHLevel1X" xfId="518"/>
    <cellStyle name="SAPBEXHLevel2" xfId="519"/>
    <cellStyle name="SAPBEXHLevel2X" xfId="520"/>
    <cellStyle name="SAPBEXHLevel3" xfId="521"/>
    <cellStyle name="SAPBEXHLevel3X" xfId="522"/>
    <cellStyle name="SAPBEXresData" xfId="523"/>
    <cellStyle name="SAPBEXresDataEmph" xfId="524"/>
    <cellStyle name="SAPBEXresItem" xfId="525"/>
    <cellStyle name="SAPBEXresItemX" xfId="526"/>
    <cellStyle name="SAPBEXstdData" xfId="527"/>
    <cellStyle name="SAPBEXstdData 2" xfId="528"/>
    <cellStyle name="SAPBEXstdData_Detaillierung" xfId="529"/>
    <cellStyle name="SAPBEXstdDataEmph" xfId="530"/>
    <cellStyle name="SAPBEXstdItem" xfId="531"/>
    <cellStyle name="SAPBEXstdItemX" xfId="532"/>
    <cellStyle name="SAPBEXstdItemX 2" xfId="533"/>
    <cellStyle name="SAPBEXstdItemX_Detaillierung" xfId="534"/>
    <cellStyle name="SAPBEXtitle" xfId="535"/>
    <cellStyle name="SAPBEXtitle 2" xfId="536"/>
    <cellStyle name="SAPBEXtitle_Detaillierung" xfId="537"/>
    <cellStyle name="SAPBEXundefined" xfId="538"/>
    <cellStyle name="Schlecht" xfId="539"/>
    <cellStyle name="Schraffiert" xfId="540"/>
    <cellStyle name="SEM-BPS-data" xfId="541"/>
    <cellStyle name="SEM-BPS-head" xfId="542"/>
    <cellStyle name="SEM-BPS-headdata" xfId="543"/>
    <cellStyle name="SEM-BPS-headkey" xfId="544"/>
    <cellStyle name="SEM-BPS-input-on" xfId="545"/>
    <cellStyle name="SEM-BPS-key" xfId="546"/>
    <cellStyle name="SEM-BPS-sub1" xfId="547"/>
    <cellStyle name="SEM-BPS-sub2" xfId="548"/>
    <cellStyle name="SEM-BPS-total" xfId="549"/>
    <cellStyle name="Shaded" xfId="550"/>
    <cellStyle name="showCheck" xfId="551"/>
    <cellStyle name="showExposure" xfId="552"/>
    <cellStyle name="showParameterE" xfId="553"/>
    <cellStyle name="showParameterS" xfId="554"/>
    <cellStyle name="showPD" xfId="555"/>
    <cellStyle name="showPercentage" xfId="556"/>
    <cellStyle name="showSelection" xfId="557"/>
    <cellStyle name="src_1" xfId="558"/>
    <cellStyle name="Standard 2" xfId="559"/>
    <cellStyle name="Standard 3" xfId="560"/>
    <cellStyle name="Standard_BBB+ v3 (€493 incl CB)" xfId="561"/>
    <cellStyle name="Stil 1" xfId="562"/>
    <cellStyle name="Stil 2" xfId="563"/>
    <cellStyle name="Style 1" xfId="564"/>
    <cellStyle name="Style 2" xfId="565"/>
    <cellStyle name="summe" xfId="566"/>
    <cellStyle name="sup2Date" xfId="567"/>
    <cellStyle name="sup2Int" xfId="568"/>
    <cellStyle name="sup2ParameterE" xfId="569"/>
    <cellStyle name="sup2Percentage" xfId="570"/>
    <cellStyle name="sup2PercentageL" xfId="571"/>
    <cellStyle name="sup2PercentageM" xfId="572"/>
    <cellStyle name="sup2Selection" xfId="573"/>
    <cellStyle name="sup2Text" xfId="574"/>
    <cellStyle name="sup3ParameterE" xfId="575"/>
    <cellStyle name="sup3Percentage" xfId="576"/>
    <cellStyle name="supFloat" xfId="577"/>
    <cellStyle name="supInt" xfId="578"/>
    <cellStyle name="supParameterE" xfId="579"/>
    <cellStyle name="supParameterS" xfId="580"/>
    <cellStyle name="supPD" xfId="581"/>
    <cellStyle name="supPercentage" xfId="582"/>
    <cellStyle name="supPercentageL" xfId="583"/>
    <cellStyle name="supPercentageM" xfId="584"/>
    <cellStyle name="supSelection" xfId="585"/>
    <cellStyle name="supText" xfId="586"/>
    <cellStyle name="Table Col Head" xfId="587"/>
    <cellStyle name="Table Sub Head" xfId="588"/>
    <cellStyle name="Table Title" xfId="589"/>
    <cellStyle name="Table Units" xfId="590"/>
    <cellStyle name="Texto de advertencia" xfId="591"/>
    <cellStyle name="Texto explicativo" xfId="592"/>
    <cellStyle name="Times" xfId="593"/>
    <cellStyle name="Título" xfId="594"/>
    <cellStyle name="Título 1" xfId="595"/>
    <cellStyle name="Título 2" xfId="596"/>
    <cellStyle name="Título 3" xfId="597"/>
    <cellStyle name="Überschrift" xfId="598"/>
    <cellStyle name="Überschrift 1" xfId="599"/>
    <cellStyle name="Überschrift 2" xfId="600"/>
    <cellStyle name="Überschrift 3" xfId="601"/>
    <cellStyle name="Überschrift 4" xfId="602"/>
    <cellStyle name="Überschrift_Detaillierung" xfId="603"/>
    <cellStyle name="Verknüpfte Zelle" xfId="604"/>
    <cellStyle name="Währung(DM)" xfId="605"/>
    <cellStyle name="Warnender Text" xfId="606"/>
    <cellStyle name="Wrap" xfId="607"/>
    <cellStyle name="Y2K Compliant Date Fmt" xfId="608"/>
    <cellStyle name="Year" xfId="609"/>
    <cellStyle name="Zelle prüfen" xfId="610"/>
    <cellStyle name="Zelle überprüfen" xfId="611"/>
    <cellStyle name="Zwischensumme" xfId="6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ACV Bookings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'Joseph Floyd SaaS Dashboard'!$B$21</c:f>
              <c:strCache>
                <c:ptCount val="1"/>
                <c:pt idx="0">
                  <c:v>Renewal ACV Bookings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Dashboard'!$C$21:$N$21</c:f>
              <c:numCache>
                <c:formatCode>"$"#,##0_);\("$"#,##0\)</c:formatCode>
                <c:ptCount val="12"/>
                <c:pt idx="0">
                  <c:v>846</c:v>
                </c:pt>
                <c:pt idx="1">
                  <c:v>928.25</c:v>
                </c:pt>
                <c:pt idx="2">
                  <c:v>1010.5</c:v>
                </c:pt>
                <c:pt idx="3">
                  <c:v>1163.25</c:v>
                </c:pt>
                <c:pt idx="4">
                  <c:v>1298.8573942425719</c:v>
                </c:pt>
                <c:pt idx="5">
                  <c:v>1346.0086224727925</c:v>
                </c:pt>
                <c:pt idx="6">
                  <c:v>1913.4014049963332</c:v>
                </c:pt>
                <c:pt idx="7">
                  <c:v>2089.841966565873</c:v>
                </c:pt>
                <c:pt idx="8">
                  <c:v>2306.9260325973673</c:v>
                </c:pt>
                <c:pt idx="9">
                  <c:v>2209.5186749537206</c:v>
                </c:pt>
                <c:pt idx="10">
                  <c:v>2992.9625401764679</c:v>
                </c:pt>
                <c:pt idx="11">
                  <c:v>3142.0910929263318</c:v>
                </c:pt>
              </c:numCache>
            </c:numRef>
          </c:val>
        </c:ser>
        <c:ser>
          <c:idx val="1"/>
          <c:order val="1"/>
          <c:tx>
            <c:strRef>
              <c:f>'Joseph Floyd SaaS Dashboard'!$B$20</c:f>
              <c:strCache>
                <c:ptCount val="1"/>
                <c:pt idx="0">
                  <c:v>Upsell ACV Bookings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Dashboard'!$C$20:$N$20</c:f>
              <c:numCache>
                <c:formatCode>"$"#,##0_);\("$"#,##0\)</c:formatCode>
                <c:ptCount val="12"/>
                <c:pt idx="0">
                  <c:v>169.20000000000002</c:v>
                </c:pt>
                <c:pt idx="1">
                  <c:v>185.65</c:v>
                </c:pt>
                <c:pt idx="2">
                  <c:v>202.10000000000002</c:v>
                </c:pt>
                <c:pt idx="3">
                  <c:v>232.65</c:v>
                </c:pt>
                <c:pt idx="4">
                  <c:v>259.77147884851439</c:v>
                </c:pt>
                <c:pt idx="5">
                  <c:v>269.2017244945585</c:v>
                </c:pt>
                <c:pt idx="6">
                  <c:v>382.68028099926664</c:v>
                </c:pt>
                <c:pt idx="7">
                  <c:v>417.9683933131746</c:v>
                </c:pt>
                <c:pt idx="8">
                  <c:v>461.38520651947351</c:v>
                </c:pt>
                <c:pt idx="9">
                  <c:v>441.90373499074417</c:v>
                </c:pt>
                <c:pt idx="10">
                  <c:v>598.59250803529358</c:v>
                </c:pt>
                <c:pt idx="11">
                  <c:v>628.41821858526646</c:v>
                </c:pt>
              </c:numCache>
            </c:numRef>
          </c:val>
        </c:ser>
        <c:ser>
          <c:idx val="0"/>
          <c:order val="2"/>
          <c:tx>
            <c:strRef>
              <c:f>'Joseph Floyd SaaS Dashboard'!$B$19</c:f>
              <c:strCache>
                <c:ptCount val="1"/>
                <c:pt idx="0">
                  <c:v>New ACV Bookings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Dashboard'!$C$19:$N$19</c:f>
              <c:numCache>
                <c:formatCode>"$"#,##0_);\("$"#,##0\)</c:formatCode>
                <c:ptCount val="12"/>
                <c:pt idx="0">
                  <c:v>570</c:v>
                </c:pt>
                <c:pt idx="1">
                  <c:v>541.53407437237195</c:v>
                </c:pt>
                <c:pt idx="2">
                  <c:v>1103.0016726146821</c:v>
                </c:pt>
                <c:pt idx="3">
                  <c:v>1107.049960197468</c:v>
                </c:pt>
                <c:pt idx="4">
                  <c:v>1160.9796834815452</c:v>
                </c:pt>
                <c:pt idx="5">
                  <c:v>1000.655234976</c:v>
                </c:pt>
                <c:pt idx="6">
                  <c:v>1282.5918944999855</c:v>
                </c:pt>
                <c:pt idx="7">
                  <c:v>1204.3842916941599</c:v>
                </c:pt>
                <c:pt idx="8">
                  <c:v>1139.07692</c:v>
                </c:pt>
                <c:pt idx="9">
                  <c:v>1686.7</c:v>
                </c:pt>
                <c:pt idx="10">
                  <c:v>1919.2520000000029</c:v>
                </c:pt>
                <c:pt idx="11">
                  <c:v>2107.4880000000021</c:v>
                </c:pt>
              </c:numCache>
            </c:numRef>
          </c:val>
        </c:ser>
        <c:ser>
          <c:idx val="3"/>
          <c:order val="3"/>
          <c:tx>
            <c:strRef>
              <c:f>'Joseph Floyd SaaS Dashboard'!$B$24</c:f>
              <c:strCache>
                <c:ptCount val="1"/>
                <c:pt idx="0">
                  <c:v>Total Subscription Bookings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'Joseph Floyd SaaS Dashboard'!$C$24:$N$24</c:f>
              <c:numCache>
                <c:formatCode>"$"#,##0_);\("$"#,##0\)</c:formatCode>
                <c:ptCount val="12"/>
                <c:pt idx="0">
                  <c:v>1585.2</c:v>
                </c:pt>
                <c:pt idx="1">
                  <c:v>1655.4340743723719</c:v>
                </c:pt>
                <c:pt idx="2">
                  <c:v>2315.6016726146822</c:v>
                </c:pt>
                <c:pt idx="3">
                  <c:v>2502.949960197468</c:v>
                </c:pt>
                <c:pt idx="4">
                  <c:v>2719.6085565726316</c:v>
                </c:pt>
                <c:pt idx="5">
                  <c:v>2615.8655819433507</c:v>
                </c:pt>
                <c:pt idx="6">
                  <c:v>3578.6735804955852</c:v>
                </c:pt>
                <c:pt idx="7">
                  <c:v>3712.1946515732075</c:v>
                </c:pt>
                <c:pt idx="8">
                  <c:v>3907.3881591168411</c:v>
                </c:pt>
                <c:pt idx="9">
                  <c:v>4338.1224099444644</c:v>
                </c:pt>
                <c:pt idx="10">
                  <c:v>5510.8070482117646</c:v>
                </c:pt>
                <c:pt idx="11">
                  <c:v>5877.9973115116009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442624"/>
        <c:axId val="118448512"/>
      </c:barChart>
      <c:catAx>
        <c:axId val="1184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18448512"/>
        <c:crosses val="autoZero"/>
        <c:auto val="1"/>
        <c:lblAlgn val="ctr"/>
        <c:lblOffset val="100"/>
        <c:noMultiLvlLbl val="0"/>
      </c:catAx>
      <c:valAx>
        <c:axId val="118448512"/>
        <c:scaling>
          <c:orientation val="minMax"/>
          <c:max val="7000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18442624"/>
        <c:crosses val="autoZero"/>
        <c:crossBetween val="between"/>
      </c:valAx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'Joseph Floyd SaaS Dashboard'!$B$52</c:f>
              <c:strCache>
                <c:ptCount val="1"/>
                <c:pt idx="0">
                  <c:v>Subscription Revenue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Dashboard'!$Q$52:$S$52</c:f>
              <c:numCache>
                <c:formatCode>"$"#,##0_);\("$"#,##0\)</c:formatCode>
                <c:ptCount val="3"/>
                <c:pt idx="0">
                  <c:v>6996.4459600000009</c:v>
                </c:pt>
                <c:pt idx="1">
                  <c:v>10513.831576483475</c:v>
                </c:pt>
                <c:pt idx="2">
                  <c:v>15788.213141608045</c:v>
                </c:pt>
              </c:numCache>
            </c:numRef>
          </c:val>
        </c:ser>
        <c:ser>
          <c:idx val="1"/>
          <c:order val="1"/>
          <c:tx>
            <c:strRef>
              <c:f>'Joseph Floyd SaaS Dashboard'!$B$53</c:f>
              <c:strCache>
                <c:ptCount val="1"/>
                <c:pt idx="0">
                  <c:v>Professional Services Revenue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Dashboard'!$Q$53:$S$53</c:f>
              <c:numCache>
                <c:formatCode>"$"#,##0_);\("$"#,##0\)</c:formatCode>
                <c:ptCount val="3"/>
                <c:pt idx="0">
                  <c:v>613</c:v>
                </c:pt>
                <c:pt idx="1">
                  <c:v>817.85572111376405</c:v>
                </c:pt>
                <c:pt idx="2">
                  <c:v>976.87428818550711</c:v>
                </c:pt>
              </c:numCache>
            </c:numRef>
          </c:val>
        </c:ser>
        <c:ser>
          <c:idx val="3"/>
          <c:order val="2"/>
          <c:tx>
            <c:strRef>
              <c:f>'Joseph Floyd SaaS Dashboard'!$B$54</c:f>
              <c:strCache>
                <c:ptCount val="1"/>
                <c:pt idx="0">
                  <c:v>Total Revenue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'Joseph Floyd SaaS Dashboard'!$Q$54:$S$54</c:f>
              <c:numCache>
                <c:formatCode>"$"#,##0_);\("$"#,##0\)</c:formatCode>
                <c:ptCount val="3"/>
                <c:pt idx="0">
                  <c:v>7609.4459600000009</c:v>
                </c:pt>
                <c:pt idx="1">
                  <c:v>11331.68729759724</c:v>
                </c:pt>
                <c:pt idx="2">
                  <c:v>16765.087429793552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63712"/>
        <c:axId val="121765248"/>
      </c:barChart>
      <c:lineChart>
        <c:grouping val="standard"/>
        <c:varyColors val="0"/>
        <c:ser>
          <c:idx val="2"/>
          <c:order val="3"/>
          <c:tx>
            <c:strRef>
              <c:f>'Joseph Floyd SaaS Dashboard'!$B$63</c:f>
              <c:strCache>
                <c:ptCount val="1"/>
                <c:pt idx="0">
                  <c:v>Gross Margin</c:v>
                </c:pt>
              </c:strCache>
            </c:strRef>
          </c:tx>
          <c:marker>
            <c:symbol val="none"/>
          </c:marker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Dashboard'!$Q$63:$S$63</c:f>
              <c:numCache>
                <c:formatCode>0%</c:formatCode>
                <c:ptCount val="3"/>
                <c:pt idx="0">
                  <c:v>0.59670948156934811</c:v>
                </c:pt>
                <c:pt idx="1">
                  <c:v>0.648618012342011</c:v>
                </c:pt>
                <c:pt idx="2">
                  <c:v>0.70386751732969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789056"/>
        <c:axId val="121787520"/>
      </c:lineChart>
      <c:catAx>
        <c:axId val="1217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765248"/>
        <c:crosses val="autoZero"/>
        <c:auto val="1"/>
        <c:lblAlgn val="ctr"/>
        <c:lblOffset val="100"/>
        <c:noMultiLvlLbl val="0"/>
      </c:catAx>
      <c:valAx>
        <c:axId val="121765248"/>
        <c:scaling>
          <c:orientation val="minMax"/>
          <c:max val="18000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crossAx val="121763712"/>
        <c:crosses val="autoZero"/>
        <c:crossBetween val="between"/>
      </c:valAx>
      <c:valAx>
        <c:axId val="121787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21789056"/>
        <c:crosses val="max"/>
        <c:crossBetween val="between"/>
      </c:valAx>
      <c:catAx>
        <c:axId val="12178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78752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Customer Count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Existing Customers</c:v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Dashboard'!$C$13:$N$13</c:f>
              <c:numCache>
                <c:formatCode>#,##0_);\(#,##0\)</c:formatCode>
                <c:ptCount val="12"/>
                <c:pt idx="0">
                  <c:v>72</c:v>
                </c:pt>
                <c:pt idx="1">
                  <c:v>79</c:v>
                </c:pt>
                <c:pt idx="2">
                  <c:v>86</c:v>
                </c:pt>
                <c:pt idx="3">
                  <c:v>99</c:v>
                </c:pt>
                <c:pt idx="4">
                  <c:v>110</c:v>
                </c:pt>
                <c:pt idx="5">
                  <c:v>119</c:v>
                </c:pt>
                <c:pt idx="6">
                  <c:v>126</c:v>
                </c:pt>
                <c:pt idx="7">
                  <c:v>135</c:v>
                </c:pt>
                <c:pt idx="8">
                  <c:v>142</c:v>
                </c:pt>
                <c:pt idx="9">
                  <c:v>149</c:v>
                </c:pt>
                <c:pt idx="10">
                  <c:v>160</c:v>
                </c:pt>
                <c:pt idx="11">
                  <c:v>173</c:v>
                </c:pt>
              </c:numCache>
            </c:numRef>
          </c:val>
        </c:ser>
        <c:ser>
          <c:idx val="1"/>
          <c:order val="1"/>
          <c:tx>
            <c:v>New Customers</c:v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Dashboard'!$C$14:$N$14</c:f>
              <c:numCache>
                <c:formatCode>#,##0_);\(#,##0\)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ser>
          <c:idx val="3"/>
          <c:order val="2"/>
          <c:tx>
            <c:strRef>
              <c:f>'Joseph Floyd SaaS Dashboard'!$B$16</c:f>
              <c:strCache>
                <c:ptCount val="1"/>
                <c:pt idx="0">
                  <c:v>Ending Customers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'Joseph Floyd SaaS Dashboard'!$C$16:$N$16</c:f>
              <c:numCache>
                <c:formatCode>#,##0_);\(#,##0\)</c:formatCode>
                <c:ptCount val="12"/>
                <c:pt idx="0">
                  <c:v>79</c:v>
                </c:pt>
                <c:pt idx="1">
                  <c:v>86</c:v>
                </c:pt>
                <c:pt idx="2">
                  <c:v>99</c:v>
                </c:pt>
                <c:pt idx="3">
                  <c:v>110</c:v>
                </c:pt>
                <c:pt idx="4">
                  <c:v>119</c:v>
                </c:pt>
                <c:pt idx="5">
                  <c:v>126</c:v>
                </c:pt>
                <c:pt idx="6">
                  <c:v>135</c:v>
                </c:pt>
                <c:pt idx="7">
                  <c:v>142</c:v>
                </c:pt>
                <c:pt idx="8">
                  <c:v>149</c:v>
                </c:pt>
                <c:pt idx="9">
                  <c:v>160</c:v>
                </c:pt>
                <c:pt idx="10">
                  <c:v>173</c:v>
                </c:pt>
                <c:pt idx="11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084352"/>
        <c:axId val="120085888"/>
      </c:barChart>
      <c:lineChart>
        <c:grouping val="standard"/>
        <c:varyColors val="0"/>
        <c:ser>
          <c:idx val="2"/>
          <c:order val="3"/>
          <c:tx>
            <c:strRef>
              <c:f>'Joseph Floyd SaaS Dashboard'!$B$39</c:f>
              <c:strCache>
                <c:ptCount val="1"/>
                <c:pt idx="0">
                  <c:v>Annual Customer Churn</c:v>
                </c:pt>
              </c:strCache>
            </c:strRef>
          </c:tx>
          <c:marker>
            <c:symbol val="none"/>
          </c:marker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'Joseph Floyd SaaS Dashboard'!$C$39:$N$39</c:f>
              <c:numCache>
                <c:formatCode>0%</c:formatCode>
                <c:ptCount val="12"/>
                <c:pt idx="0">
                  <c:v>0.17737569926697572</c:v>
                </c:pt>
                <c:pt idx="1">
                  <c:v>0.10517667472886627</c:v>
                </c:pt>
                <c:pt idx="2">
                  <c:v>9.6318855645590506E-2</c:v>
                </c:pt>
                <c:pt idx="3">
                  <c:v>0.1268339122083173</c:v>
                </c:pt>
                <c:pt idx="4">
                  <c:v>0.15358251485554275</c:v>
                </c:pt>
                <c:pt idx="5">
                  <c:v>0.10471811898596384</c:v>
                </c:pt>
                <c:pt idx="6">
                  <c:v>9.8693767000375132E-2</c:v>
                </c:pt>
                <c:pt idx="7">
                  <c:v>0.1565837035531692</c:v>
                </c:pt>
                <c:pt idx="8">
                  <c:v>8.7223000418586771E-2</c:v>
                </c:pt>
                <c:pt idx="9">
                  <c:v>0.14113705943799992</c:v>
                </c:pt>
                <c:pt idx="10">
                  <c:v>0.10381289062499977</c:v>
                </c:pt>
                <c:pt idx="11">
                  <c:v>0.14611371987489497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01504"/>
        <c:axId val="120099968"/>
      </c:lineChart>
      <c:catAx>
        <c:axId val="1200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085888"/>
        <c:crosses val="autoZero"/>
        <c:auto val="1"/>
        <c:lblAlgn val="ctr"/>
        <c:lblOffset val="100"/>
        <c:noMultiLvlLbl val="0"/>
      </c:catAx>
      <c:valAx>
        <c:axId val="120085888"/>
        <c:scaling>
          <c:orientation val="minMax"/>
          <c:max val="200"/>
        </c:scaling>
        <c:delete val="0"/>
        <c:axPos val="l"/>
        <c:numFmt formatCode="#,##0_);\(#,##0\)" sourceLinked="1"/>
        <c:majorTickMark val="out"/>
        <c:minorTickMark val="none"/>
        <c:tickLblPos val="nextTo"/>
        <c:crossAx val="120084352"/>
        <c:crosses val="autoZero"/>
        <c:crossBetween val="between"/>
      </c:valAx>
      <c:valAx>
        <c:axId val="1200999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20101504"/>
        <c:crosses val="max"/>
        <c:crossBetween val="between"/>
      </c:valAx>
      <c:catAx>
        <c:axId val="1201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009996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MRR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'Joseph Floyd SaaS Dashboard'!$B$27</c:f>
              <c:strCache>
                <c:ptCount val="1"/>
                <c:pt idx="0">
                  <c:v>Beginning MRR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Dashboard'!$C$27:$N$27</c:f>
              <c:numCache>
                <c:formatCode>"$"#,##0_);\("$"#,##0\)</c:formatCode>
                <c:ptCount val="12"/>
                <c:pt idx="0">
                  <c:v>296.25</c:v>
                </c:pt>
                <c:pt idx="1">
                  <c:v>343.02500000000003</c:v>
                </c:pt>
                <c:pt idx="2">
                  <c:v>387.5981049581581</c:v>
                </c:pt>
                <c:pt idx="3">
                  <c:v>483.32656094990148</c:v>
                </c:pt>
                <c:pt idx="4">
                  <c:v>574.17634993937406</c:v>
                </c:pt>
                <c:pt idx="5">
                  <c:v>669.78044128397175</c:v>
                </c:pt>
                <c:pt idx="6">
                  <c:v>767.08711178622491</c:v>
                </c:pt>
                <c:pt idx="7">
                  <c:v>878.81119505595461</c:v>
                </c:pt>
                <c:pt idx="8">
                  <c:v>982.37024302445661</c:v>
                </c:pt>
                <c:pt idx="9">
                  <c:v>1090.1128562010792</c:v>
                </c:pt>
                <c:pt idx="10">
                  <c:v>1237.9644695336412</c:v>
                </c:pt>
                <c:pt idx="11">
                  <c:v>1419.9156922620728</c:v>
                </c:pt>
              </c:numCache>
            </c:numRef>
          </c:val>
        </c:ser>
        <c:ser>
          <c:idx val="1"/>
          <c:order val="1"/>
          <c:tx>
            <c:strRef>
              <c:f>'Joseph Floyd SaaS Dashboard'!$B$29</c:f>
              <c:strCache>
                <c:ptCount val="1"/>
                <c:pt idx="0">
                  <c:v>Churned MRR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Dashboard'!$C$29:$N$29</c:f>
              <c:numCache>
                <c:formatCode>"$"#,##0_);\("$"#,##0\)</c:formatCode>
                <c:ptCount val="12"/>
                <c:pt idx="0">
                  <c:v>-11.824999999999999</c:v>
                </c:pt>
                <c:pt idx="1">
                  <c:v>-8.0255679062062004</c:v>
                </c:pt>
                <c:pt idx="2">
                  <c:v>-9.0300167261467994</c:v>
                </c:pt>
                <c:pt idx="3">
                  <c:v>-15.791874360316401</c:v>
                </c:pt>
                <c:pt idx="4">
                  <c:v>-19.791838849573999</c:v>
                </c:pt>
                <c:pt idx="5">
                  <c:v>-12.514742786959999</c:v>
                </c:pt>
                <c:pt idx="6">
                  <c:v>-17.0485980218747</c:v>
                </c:pt>
                <c:pt idx="7">
                  <c:v>-27.637009115442499</c:v>
                </c:pt>
                <c:pt idx="8">
                  <c:v>-25.629230700000001</c:v>
                </c:pt>
                <c:pt idx="9">
                  <c:v>-29.532031249999999</c:v>
                </c:pt>
                <c:pt idx="10">
                  <c:v>-27.869152941176502</c:v>
                </c:pt>
                <c:pt idx="11">
                  <c:v>-42.687200000000097</c:v>
                </c:pt>
              </c:numCache>
            </c:numRef>
          </c:val>
        </c:ser>
        <c:ser>
          <c:idx val="0"/>
          <c:order val="2"/>
          <c:tx>
            <c:strRef>
              <c:f>'Joseph Floyd SaaS Dashboard'!$B$28</c:f>
              <c:strCache>
                <c:ptCount val="1"/>
                <c:pt idx="0">
                  <c:v>New MRR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Dashboard'!$C$28:$N$28</c:f>
              <c:numCache>
                <c:formatCode>"$"#,##0_);\("$"#,##0\)</c:formatCode>
                <c:ptCount val="12"/>
                <c:pt idx="0">
                  <c:v>47.5</c:v>
                </c:pt>
                <c:pt idx="1">
                  <c:v>45.127839531030993</c:v>
                </c:pt>
                <c:pt idx="2">
                  <c:v>91.916806051223503</c:v>
                </c:pt>
                <c:pt idx="3">
                  <c:v>92.254163349788996</c:v>
                </c:pt>
                <c:pt idx="4">
                  <c:v>96.748306956795446</c:v>
                </c:pt>
                <c:pt idx="5">
                  <c:v>83.387936247999988</c:v>
                </c:pt>
                <c:pt idx="6">
                  <c:v>106.88265787499881</c:v>
                </c:pt>
                <c:pt idx="7">
                  <c:v>100.36535764117998</c:v>
                </c:pt>
                <c:pt idx="8">
                  <c:v>94.923076666666674</c:v>
                </c:pt>
                <c:pt idx="9">
                  <c:v>140.55833333333334</c:v>
                </c:pt>
                <c:pt idx="10">
                  <c:v>159.9376666666669</c:v>
                </c:pt>
                <c:pt idx="11">
                  <c:v>175.62400000000017</c:v>
                </c:pt>
              </c:numCache>
            </c:numRef>
          </c:val>
        </c:ser>
        <c:ser>
          <c:idx val="2"/>
          <c:order val="3"/>
          <c:tx>
            <c:strRef>
              <c:f>'Joseph Floyd SaaS Dashboard'!$B$30</c:f>
              <c:strCache>
                <c:ptCount val="1"/>
                <c:pt idx="0">
                  <c:v>Expansion MRR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Dashboard'!$C$30:$N$30</c:f>
              <c:numCache>
                <c:formatCode>"$"#,##0_);\("$"#,##0\)</c:formatCode>
                <c:ptCount val="12"/>
                <c:pt idx="0">
                  <c:v>11.1</c:v>
                </c:pt>
                <c:pt idx="1">
                  <c:v>7.4708333333333004</c:v>
                </c:pt>
                <c:pt idx="2">
                  <c:v>12.841666666666701</c:v>
                </c:pt>
                <c:pt idx="3">
                  <c:v>14.387499999999999</c:v>
                </c:pt>
                <c:pt idx="4">
                  <c:v>18.647623237376202</c:v>
                </c:pt>
                <c:pt idx="5">
                  <c:v>26.433477041213202</c:v>
                </c:pt>
                <c:pt idx="6">
                  <c:v>21.890023416605601</c:v>
                </c:pt>
                <c:pt idx="7">
                  <c:v>30.830699442764502</c:v>
                </c:pt>
                <c:pt idx="8">
                  <c:v>38.448767209956124</c:v>
                </c:pt>
                <c:pt idx="9">
                  <c:v>36.825311249228683</c:v>
                </c:pt>
                <c:pt idx="10">
                  <c:v>49.882709002941134</c:v>
                </c:pt>
                <c:pt idx="11">
                  <c:v>52.368184882105538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153984"/>
        <c:axId val="120155520"/>
      </c:barChart>
      <c:lineChart>
        <c:grouping val="standard"/>
        <c:varyColors val="0"/>
        <c:ser>
          <c:idx val="4"/>
          <c:order val="4"/>
          <c:tx>
            <c:strRef>
              <c:f>'Joseph Floyd SaaS Dashboard'!$B$41</c:f>
              <c:strCache>
                <c:ptCount val="1"/>
                <c:pt idx="0">
                  <c:v>Annual Net MRR Churn</c:v>
                </c:pt>
              </c:strCache>
            </c:strRef>
          </c:tx>
          <c:marker>
            <c:symbol val="none"/>
          </c:marker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Dashboard'!$C$41:$N$41</c:f>
              <c:numCache>
                <c:formatCode>0%</c:formatCode>
                <c:ptCount val="12"/>
                <c:pt idx="0">
                  <c:v>9.825022611124723E-3</c:v>
                </c:pt>
                <c:pt idx="1">
                  <c:v>6.4844449954057914E-3</c:v>
                </c:pt>
                <c:pt idx="2">
                  <c:v>-3.8759651351866875E-2</c:v>
                </c:pt>
                <c:pt idx="3">
                  <c:v>1.167332611231986E-2</c:v>
                </c:pt>
                <c:pt idx="4">
                  <c:v>7.9950380318791758E-3</c:v>
                </c:pt>
                <c:pt idx="5">
                  <c:v>-8.0568761698768698E-2</c:v>
                </c:pt>
                <c:pt idx="6">
                  <c:v>-2.500776410980865E-2</c:v>
                </c:pt>
                <c:pt idx="7">
                  <c:v>-1.4457363247047161E-2</c:v>
                </c:pt>
                <c:pt idx="8">
                  <c:v>-5.1185498948421171E-2</c:v>
                </c:pt>
                <c:pt idx="9">
                  <c:v>-2.649418741962728E-2</c:v>
                </c:pt>
                <c:pt idx="10">
                  <c:v>-6.9253413547684217E-2</c:v>
                </c:pt>
                <c:pt idx="11">
                  <c:v>-2.6994353988129105E-2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187520"/>
        <c:axId val="120185984"/>
      </c:lineChart>
      <c:catAx>
        <c:axId val="1201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155520"/>
        <c:crosses val="autoZero"/>
        <c:auto val="1"/>
        <c:lblAlgn val="ctr"/>
        <c:lblOffset val="100"/>
        <c:noMultiLvlLbl val="0"/>
      </c:catAx>
      <c:valAx>
        <c:axId val="120155520"/>
        <c:scaling>
          <c:orientation val="minMax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crossAx val="120153984"/>
        <c:crosses val="autoZero"/>
        <c:crossBetween val="between"/>
      </c:valAx>
      <c:valAx>
        <c:axId val="1201859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20187520"/>
        <c:crosses val="max"/>
        <c:crossBetween val="between"/>
      </c:valAx>
      <c:catAx>
        <c:axId val="12018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1859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Unit Economics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'Joseph Floyd SaaS Dashboard'!$B$44</c:f>
              <c:strCache>
                <c:ptCount val="1"/>
                <c:pt idx="0">
                  <c:v>Customer Acquisition Cost</c:v>
                </c:pt>
              </c:strCache>
            </c:strRef>
          </c:tx>
          <c:invertIfNegative val="0"/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Dashboard'!$C$44:$N$44</c:f>
              <c:numCache>
                <c:formatCode>"$"#,##0_);\("$"#,##0\)</c:formatCode>
                <c:ptCount val="12"/>
                <c:pt idx="0">
                  <c:v>75.81</c:v>
                </c:pt>
                <c:pt idx="1">
                  <c:v>77.018179466292906</c:v>
                </c:pt>
                <c:pt idx="2">
                  <c:v>90.446137154403928</c:v>
                </c:pt>
                <c:pt idx="3">
                  <c:v>94.099246616784768</c:v>
                </c:pt>
                <c:pt idx="4">
                  <c:v>102.70204892336746</c:v>
                </c:pt>
                <c:pt idx="5">
                  <c:v>111.07273108233599</c:v>
                </c:pt>
                <c:pt idx="6">
                  <c:v>115.43327050499869</c:v>
                </c:pt>
                <c:pt idx="7">
                  <c:v>105.38362552323896</c:v>
                </c:pt>
                <c:pt idx="8">
                  <c:v>116.18584583999998</c:v>
                </c:pt>
                <c:pt idx="9">
                  <c:v>105.41874999999997</c:v>
                </c:pt>
                <c:pt idx="10">
                  <c:v>110.6392329411766</c:v>
                </c:pt>
                <c:pt idx="11">
                  <c:v>112.39936000000007</c:v>
                </c:pt>
              </c:numCache>
            </c:numRef>
          </c:val>
        </c:ser>
        <c:ser>
          <c:idx val="2"/>
          <c:order val="2"/>
          <c:tx>
            <c:strRef>
              <c:f>'Joseph Floyd SaaS Dashboard'!$B$46</c:f>
              <c:strCache>
                <c:ptCount val="1"/>
                <c:pt idx="0">
                  <c:v>CLV (MRR)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Dashboard'!$C$46:$N$46</c:f>
              <c:numCache>
                <c:formatCode>"$"#,##0_);\("$"#,##0\)</c:formatCode>
                <c:ptCount val="12"/>
                <c:pt idx="0">
                  <c:v>216.41547272198704</c:v>
                </c:pt>
                <c:pt idx="1">
                  <c:v>391.2384780959016</c:v>
                </c:pt>
                <c:pt idx="2">
                  <c:v>496.02122213826317</c:v>
                </c:pt>
                <c:pt idx="3">
                  <c:v>384.89579440044935</c:v>
                </c:pt>
                <c:pt idx="4">
                  <c:v>412.73742634494744</c:v>
                </c:pt>
                <c:pt idx="5">
                  <c:v>905.96290935189347</c:v>
                </c:pt>
                <c:pt idx="6">
                  <c:v>806.07781601401496</c:v>
                </c:pt>
                <c:pt idx="7">
                  <c:v>553.29740612456806</c:v>
                </c:pt>
                <c:pt idx="8">
                  <c:v>771.47465105518768</c:v>
                </c:pt>
                <c:pt idx="9">
                  <c:v>691.64473468433505</c:v>
                </c:pt>
                <c:pt idx="10">
                  <c:v>908.07090977352152</c:v>
                </c:pt>
                <c:pt idx="11">
                  <c:v>708.19056428586237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212480"/>
        <c:axId val="120222464"/>
      </c:barChart>
      <c:lineChart>
        <c:grouping val="standard"/>
        <c:varyColors val="0"/>
        <c:ser>
          <c:idx val="1"/>
          <c:order val="1"/>
          <c:tx>
            <c:strRef>
              <c:f>'Joseph Floyd SaaS Dashboard'!$B$45</c:f>
              <c:strCache>
                <c:ptCount val="1"/>
                <c:pt idx="0">
                  <c:v>Months to Payback (MRR)</c:v>
                </c:pt>
              </c:strCache>
            </c:strRef>
          </c:tx>
          <c:marker>
            <c:symbol val="none"/>
          </c:marker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Dashboard'!$C$45:$N$45</c:f>
              <c:numCache>
                <c:formatCode>#,##0.0_);\(#,##0.0\)</c:formatCode>
                <c:ptCount val="12"/>
                <c:pt idx="0">
                  <c:v>24.802975538979773</c:v>
                </c:pt>
                <c:pt idx="1">
                  <c:v>24.373164199745098</c:v>
                </c:pt>
                <c:pt idx="2">
                  <c:v>22.675525929908346</c:v>
                </c:pt>
                <c:pt idx="3">
                  <c:v>21.37697549671255</c:v>
                </c:pt>
                <c:pt idx="4">
                  <c:v>20.568240935792357</c:v>
                </c:pt>
                <c:pt idx="5">
                  <c:v>19.141502971744334</c:v>
                </c:pt>
                <c:pt idx="6">
                  <c:v>18.697361923636016</c:v>
                </c:pt>
                <c:pt idx="7">
                  <c:v>17.3344063330483</c:v>
                </c:pt>
                <c:pt idx="8">
                  <c:v>16.654621248917682</c:v>
                </c:pt>
                <c:pt idx="9">
                  <c:v>16.207909433692489</c:v>
                </c:pt>
                <c:pt idx="10">
                  <c:v>15.69848967023816</c:v>
                </c:pt>
                <c:pt idx="11">
                  <c:v>15.141396400929089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225792"/>
        <c:axId val="120224000"/>
      </c:lineChart>
      <c:catAx>
        <c:axId val="1202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222464"/>
        <c:crosses val="autoZero"/>
        <c:auto val="1"/>
        <c:lblAlgn val="ctr"/>
        <c:lblOffset val="100"/>
        <c:noMultiLvlLbl val="0"/>
      </c:catAx>
      <c:valAx>
        <c:axId val="120222464"/>
        <c:scaling>
          <c:orientation val="minMax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crossAx val="120212480"/>
        <c:crosses val="autoZero"/>
        <c:crossBetween val="between"/>
      </c:valAx>
      <c:valAx>
        <c:axId val="120224000"/>
        <c:scaling>
          <c:orientation val="minMax"/>
        </c:scaling>
        <c:delete val="0"/>
        <c:axPos val="r"/>
        <c:numFmt formatCode="#,##0_);\(#,##0\)" sourceLinked="0"/>
        <c:majorTickMark val="out"/>
        <c:minorTickMark val="none"/>
        <c:tickLblPos val="nextTo"/>
        <c:crossAx val="120225792"/>
        <c:crosses val="max"/>
        <c:crossBetween val="between"/>
      </c:valAx>
      <c:catAx>
        <c:axId val="12022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2240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'Joseph Floyd SaaS Dashboard'!$B$52</c:f>
              <c:strCache>
                <c:ptCount val="1"/>
                <c:pt idx="0">
                  <c:v>Subscription Revenue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Dashboard'!$C$52:$N$52</c:f>
              <c:numCache>
                <c:formatCode>"$"#,##0_);\("$"#,##0\)</c:formatCode>
                <c:ptCount val="12"/>
                <c:pt idx="0">
                  <c:v>1577.5004300000001</c:v>
                </c:pt>
                <c:pt idx="1">
                  <c:v>1666.89652</c:v>
                </c:pt>
                <c:pt idx="2">
                  <c:v>1833.5235700000001</c:v>
                </c:pt>
                <c:pt idx="3">
                  <c:v>1918.5254399999999</c:v>
                </c:pt>
                <c:pt idx="4">
                  <c:v>2180.8757121553567</c:v>
                </c:pt>
                <c:pt idx="5">
                  <c:v>2494.0268354725918</c:v>
                </c:pt>
                <c:pt idx="6">
                  <c:v>2757.0907703955177</c:v>
                </c:pt>
                <c:pt idx="7">
                  <c:v>3081.838258460009</c:v>
                </c:pt>
                <c:pt idx="8">
                  <c:v>3389.0161478787782</c:v>
                </c:pt>
                <c:pt idx="9">
                  <c:v>3684.8659103407531</c:v>
                </c:pt>
                <c:pt idx="10">
                  <c:v>4149.7323555922321</c:v>
                </c:pt>
                <c:pt idx="11">
                  <c:v>4564.5987277962804</c:v>
                </c:pt>
              </c:numCache>
            </c:numRef>
          </c:val>
        </c:ser>
        <c:ser>
          <c:idx val="1"/>
          <c:order val="1"/>
          <c:tx>
            <c:strRef>
              <c:f>'Joseph Floyd SaaS Dashboard'!$B$53</c:f>
              <c:strCache>
                <c:ptCount val="1"/>
                <c:pt idx="0">
                  <c:v>Professional Services Revenue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Dashboard'!$C$53:$N$53</c:f>
              <c:numCache>
                <c:formatCode>"$"#,##0_);\("$"#,##0\)</c:formatCode>
                <c:ptCount val="12"/>
                <c:pt idx="0">
                  <c:v>138</c:v>
                </c:pt>
                <c:pt idx="1">
                  <c:v>142</c:v>
                </c:pt>
                <c:pt idx="2">
                  <c:v>159</c:v>
                </c:pt>
                <c:pt idx="3">
                  <c:v>174</c:v>
                </c:pt>
                <c:pt idx="4">
                  <c:v>176.07928535922599</c:v>
                </c:pt>
                <c:pt idx="5">
                  <c:v>195.62826953330335</c:v>
                </c:pt>
                <c:pt idx="6">
                  <c:v>218.58432756348475</c:v>
                </c:pt>
                <c:pt idx="7">
                  <c:v>227.56383865774995</c:v>
                </c:pt>
                <c:pt idx="8">
                  <c:v>232.43055523258454</c:v>
                </c:pt>
                <c:pt idx="9">
                  <c:v>231.33541705850729</c:v>
                </c:pt>
                <c:pt idx="10">
                  <c:v>265.63765530970727</c:v>
                </c:pt>
                <c:pt idx="11">
                  <c:v>247.47066058470801</c:v>
                </c:pt>
              </c:numCache>
            </c:numRef>
          </c:val>
        </c:ser>
        <c:ser>
          <c:idx val="3"/>
          <c:order val="2"/>
          <c:tx>
            <c:strRef>
              <c:f>'Joseph Floyd SaaS Dashboard'!$B$54</c:f>
              <c:strCache>
                <c:ptCount val="1"/>
                <c:pt idx="0">
                  <c:v>Total Revenue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'Joseph Floyd SaaS Dashboard'!$C$54:$N$54</c:f>
              <c:numCache>
                <c:formatCode>"$"#,##0_);\("$"#,##0\)</c:formatCode>
                <c:ptCount val="12"/>
                <c:pt idx="0">
                  <c:v>1715.5004300000001</c:v>
                </c:pt>
                <c:pt idx="1">
                  <c:v>1808.89652</c:v>
                </c:pt>
                <c:pt idx="2">
                  <c:v>1992.5235700000001</c:v>
                </c:pt>
                <c:pt idx="3">
                  <c:v>2092.5254399999999</c:v>
                </c:pt>
                <c:pt idx="4">
                  <c:v>2356.9549975145828</c:v>
                </c:pt>
                <c:pt idx="5">
                  <c:v>2689.6551050058952</c:v>
                </c:pt>
                <c:pt idx="6">
                  <c:v>2975.6750979590024</c:v>
                </c:pt>
                <c:pt idx="7">
                  <c:v>3309.4020971177588</c:v>
                </c:pt>
                <c:pt idx="8">
                  <c:v>3621.4467031113627</c:v>
                </c:pt>
                <c:pt idx="9">
                  <c:v>3916.2013273992602</c:v>
                </c:pt>
                <c:pt idx="10">
                  <c:v>4415.3700109019392</c:v>
                </c:pt>
                <c:pt idx="11">
                  <c:v>4812.0693883809881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5072"/>
        <c:axId val="120356864"/>
      </c:barChart>
      <c:lineChart>
        <c:grouping val="standard"/>
        <c:varyColors val="0"/>
        <c:ser>
          <c:idx val="2"/>
          <c:order val="3"/>
          <c:tx>
            <c:strRef>
              <c:f>'Joseph Floyd SaaS Dashboard'!$B$63</c:f>
              <c:strCache>
                <c:ptCount val="1"/>
                <c:pt idx="0">
                  <c:v>Gross Margin</c:v>
                </c:pt>
              </c:strCache>
            </c:strRef>
          </c:tx>
          <c:marker>
            <c:symbol val="none"/>
          </c:marker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Dashboard'!$C$63:$N$63</c:f>
              <c:numCache>
                <c:formatCode>0%</c:formatCode>
                <c:ptCount val="12"/>
                <c:pt idx="0">
                  <c:v>0.5917084305905399</c:v>
                </c:pt>
                <c:pt idx="1">
                  <c:v>0.58072994138096878</c:v>
                </c:pt>
                <c:pt idx="2">
                  <c:v>0.59897958206323865</c:v>
                </c:pt>
                <c:pt idx="3">
                  <c:v>0.6124614578044425</c:v>
                </c:pt>
                <c:pt idx="4">
                  <c:v>0.62081408399167159</c:v>
                </c:pt>
                <c:pt idx="5">
                  <c:v>0.64525699000278502</c:v>
                </c:pt>
                <c:pt idx="6">
                  <c:v>0.64222945589594826</c:v>
                </c:pt>
                <c:pt idx="7">
                  <c:v>0.67689588984096016</c:v>
                </c:pt>
                <c:pt idx="8">
                  <c:v>0.6877620326475673</c:v>
                </c:pt>
                <c:pt idx="9">
                  <c:v>0.69664403575923428</c:v>
                </c:pt>
                <c:pt idx="10">
                  <c:v>0.70404826664638365</c:v>
                </c:pt>
                <c:pt idx="11">
                  <c:v>0.72170094417376929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359936"/>
        <c:axId val="120358400"/>
      </c:lineChart>
      <c:catAx>
        <c:axId val="1203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356864"/>
        <c:crosses val="autoZero"/>
        <c:auto val="1"/>
        <c:lblAlgn val="ctr"/>
        <c:lblOffset val="100"/>
        <c:noMultiLvlLbl val="0"/>
      </c:catAx>
      <c:valAx>
        <c:axId val="120356864"/>
        <c:scaling>
          <c:orientation val="minMax"/>
          <c:max val="6000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crossAx val="120355072"/>
        <c:crosses val="autoZero"/>
        <c:crossBetween val="between"/>
      </c:valAx>
      <c:valAx>
        <c:axId val="1203584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20359936"/>
        <c:crosses val="max"/>
        <c:crossBetween val="between"/>
      </c:valAx>
      <c:catAx>
        <c:axId val="12035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35840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ACV Bookings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'Joseph Floyd SaaS Dashboard'!$B$21</c:f>
              <c:strCache>
                <c:ptCount val="1"/>
                <c:pt idx="0">
                  <c:v>Renewal ACV Bookings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Dashboard'!$Q$21:$S$21</c:f>
              <c:numCache>
                <c:formatCode>"$"#,##0_);\("$"#,##0\)</c:formatCode>
                <c:ptCount val="3"/>
                <c:pt idx="0">
                  <c:v>3948</c:v>
                </c:pt>
                <c:pt idx="1">
                  <c:v>6648.1093882775704</c:v>
                </c:pt>
                <c:pt idx="2">
                  <c:v>10651.498340653889</c:v>
                </c:pt>
              </c:numCache>
            </c:numRef>
          </c:val>
        </c:ser>
        <c:ser>
          <c:idx val="1"/>
          <c:order val="1"/>
          <c:tx>
            <c:strRef>
              <c:f>'Joseph Floyd SaaS Dashboard'!$B$20</c:f>
              <c:strCache>
                <c:ptCount val="1"/>
                <c:pt idx="0">
                  <c:v>Upsell ACV Bookings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Dashboard'!$Q$20:$S$20</c:f>
              <c:numCache>
                <c:formatCode>"$"#,##0_);\("$"#,##0\)</c:formatCode>
                <c:ptCount val="3"/>
                <c:pt idx="0">
                  <c:v>789.6</c:v>
                </c:pt>
                <c:pt idx="1">
                  <c:v>1329.6218776555143</c:v>
                </c:pt>
                <c:pt idx="2">
                  <c:v>2130.2996681307777</c:v>
                </c:pt>
              </c:numCache>
            </c:numRef>
          </c:val>
        </c:ser>
        <c:ser>
          <c:idx val="0"/>
          <c:order val="2"/>
          <c:tx>
            <c:strRef>
              <c:f>'Joseph Floyd SaaS Dashboard'!$B$19</c:f>
              <c:strCache>
                <c:ptCount val="1"/>
                <c:pt idx="0">
                  <c:v>New ACV Bookings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Dashboard'!$Q$19:$S$19</c:f>
              <c:numCache>
                <c:formatCode>"$"#,##0_);\("$"#,##0\)</c:formatCode>
                <c:ptCount val="3"/>
                <c:pt idx="0">
                  <c:v>3321.5857071845221</c:v>
                </c:pt>
                <c:pt idx="1">
                  <c:v>4648.6111046516908</c:v>
                </c:pt>
                <c:pt idx="2">
                  <c:v>6852.5169200000055</c:v>
                </c:pt>
              </c:numCache>
            </c:numRef>
          </c:val>
        </c:ser>
        <c:ser>
          <c:idx val="3"/>
          <c:order val="3"/>
          <c:tx>
            <c:strRef>
              <c:f>'Joseph Floyd SaaS Dashboard'!$B$24</c:f>
              <c:strCache>
                <c:ptCount val="1"/>
                <c:pt idx="0">
                  <c:v>Total Subscription Bookings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'Joseph Floyd SaaS Dashboard'!$Q$24:$S$24</c:f>
              <c:numCache>
                <c:formatCode>"$"#,##0_);\("$"#,##0\)</c:formatCode>
                <c:ptCount val="3"/>
                <c:pt idx="0">
                  <c:v>8059.1857071845225</c:v>
                </c:pt>
                <c:pt idx="1">
                  <c:v>12626.342370584774</c:v>
                </c:pt>
                <c:pt idx="2">
                  <c:v>19634.314928784672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61760"/>
        <c:axId val="121479936"/>
      </c:barChart>
      <c:catAx>
        <c:axId val="1214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21479936"/>
        <c:crosses val="autoZero"/>
        <c:auto val="1"/>
        <c:lblAlgn val="ctr"/>
        <c:lblOffset val="100"/>
        <c:noMultiLvlLbl val="0"/>
      </c:catAx>
      <c:valAx>
        <c:axId val="121479936"/>
        <c:scaling>
          <c:orientation val="minMax"/>
          <c:max val="20000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21461760"/>
        <c:crosses val="autoZero"/>
        <c:crossBetween val="between"/>
      </c:valAx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MRR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'Joseph Floyd SaaS Dashboard'!$B$27</c:f>
              <c:strCache>
                <c:ptCount val="1"/>
                <c:pt idx="0">
                  <c:v>Beginning MRR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Dashboard'!$Q$27:$S$27</c:f>
              <c:numCache>
                <c:formatCode>"$"#,##0_);\("$"#,##0\)</c:formatCode>
                <c:ptCount val="3"/>
                <c:pt idx="0">
                  <c:v>296.25</c:v>
                </c:pt>
                <c:pt idx="1">
                  <c:v>574.17634993937406</c:v>
                </c:pt>
                <c:pt idx="2">
                  <c:v>982.37024302445661</c:v>
                </c:pt>
              </c:numCache>
            </c:numRef>
          </c:val>
        </c:ser>
        <c:ser>
          <c:idx val="1"/>
          <c:order val="1"/>
          <c:tx>
            <c:strRef>
              <c:f>'Joseph Floyd SaaS Dashboard'!$B$29</c:f>
              <c:strCache>
                <c:ptCount val="1"/>
                <c:pt idx="0">
                  <c:v>Churned MRR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Dashboard'!$Q$29:$S$29</c:f>
              <c:numCache>
                <c:formatCode>"$"#,##0_);\("$"#,##0\)</c:formatCode>
                <c:ptCount val="3"/>
                <c:pt idx="0">
                  <c:v>-44.672458992669398</c:v>
                </c:pt>
                <c:pt idx="1">
                  <c:v>-76.992188773851197</c:v>
                </c:pt>
                <c:pt idx="2">
                  <c:v>-125.71761489117659</c:v>
                </c:pt>
              </c:numCache>
            </c:numRef>
          </c:val>
        </c:ser>
        <c:ser>
          <c:idx val="0"/>
          <c:order val="2"/>
          <c:tx>
            <c:strRef>
              <c:f>'Joseph Floyd SaaS Dashboard'!$B$28</c:f>
              <c:strCache>
                <c:ptCount val="1"/>
                <c:pt idx="0">
                  <c:v>New MRR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Dashboard'!$Q$28:$S$28</c:f>
              <c:numCache>
                <c:formatCode>"$"#,##0_);\("$"#,##0\)</c:formatCode>
                <c:ptCount val="3"/>
                <c:pt idx="0">
                  <c:v>276.79880893204347</c:v>
                </c:pt>
                <c:pt idx="1">
                  <c:v>387.38425872097423</c:v>
                </c:pt>
                <c:pt idx="2">
                  <c:v>571.04307666666705</c:v>
                </c:pt>
              </c:numCache>
            </c:numRef>
          </c:val>
        </c:ser>
        <c:ser>
          <c:idx val="2"/>
          <c:order val="3"/>
          <c:tx>
            <c:strRef>
              <c:f>'Joseph Floyd SaaS Dashboard'!$B$30</c:f>
              <c:strCache>
                <c:ptCount val="1"/>
                <c:pt idx="0">
                  <c:v>Expansion MRR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Dashboard'!$Q$30:$S$30</c:f>
              <c:numCache>
                <c:formatCode>"$"#,##0_);\("$"#,##0\)</c:formatCode>
                <c:ptCount val="3"/>
                <c:pt idx="0">
                  <c:v>45.8</c:v>
                </c:pt>
                <c:pt idx="1">
                  <c:v>97.801823137959502</c:v>
                </c:pt>
                <c:pt idx="2">
                  <c:v>177.52497234423149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581568"/>
        <c:axId val="121583104"/>
      </c:barChart>
      <c:lineChart>
        <c:grouping val="standard"/>
        <c:varyColors val="0"/>
        <c:ser>
          <c:idx val="4"/>
          <c:order val="4"/>
          <c:tx>
            <c:strRef>
              <c:f>'Joseph Floyd SaaS Dashboard'!$B$41</c:f>
              <c:strCache>
                <c:ptCount val="1"/>
                <c:pt idx="0">
                  <c:v>Annual Net MRR Churn</c:v>
                </c:pt>
              </c:strCache>
            </c:strRef>
          </c:tx>
          <c:marker>
            <c:symbol val="none"/>
          </c:marker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Dashboard'!$Q$41:$S$41</c:f>
              <c:numCache>
                <c:formatCode>0%</c:formatCode>
                <c:ptCount val="3"/>
                <c:pt idx="0">
                  <c:v>-3.8060455943648916E-3</c:v>
                </c:pt>
                <c:pt idx="1">
                  <c:v>-3.624258360050104E-2</c:v>
                </c:pt>
                <c:pt idx="2">
                  <c:v>-5.2737099704439155E-2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598720"/>
        <c:axId val="121584640"/>
      </c:lineChart>
      <c:catAx>
        <c:axId val="1215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83104"/>
        <c:crosses val="autoZero"/>
        <c:auto val="1"/>
        <c:lblAlgn val="ctr"/>
        <c:lblOffset val="100"/>
        <c:noMultiLvlLbl val="0"/>
      </c:catAx>
      <c:valAx>
        <c:axId val="121583104"/>
        <c:scaling>
          <c:orientation val="minMax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crossAx val="121581568"/>
        <c:crosses val="autoZero"/>
        <c:crossBetween val="between"/>
      </c:valAx>
      <c:valAx>
        <c:axId val="1215846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21598720"/>
        <c:crosses val="max"/>
        <c:crossBetween val="between"/>
      </c:valAx>
      <c:catAx>
        <c:axId val="12159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58464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Unit Economics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'Joseph Floyd SaaS Dashboard'!$B$44</c:f>
              <c:strCache>
                <c:ptCount val="1"/>
                <c:pt idx="0">
                  <c:v>Customer Acquisition Cost</c:v>
                </c:pt>
              </c:strCache>
            </c:strRef>
          </c:tx>
          <c:invertIfNegative val="0"/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Dashboard'!$Q$44:$S$44</c:f>
              <c:numCache>
                <c:formatCode>"$"#,##0_);\("$"#,##0\)</c:formatCode>
                <c:ptCount val="3"/>
                <c:pt idx="0">
                  <c:v>85.944690107243375</c:v>
                </c:pt>
                <c:pt idx="1">
                  <c:v>108.41822764182955</c:v>
                </c:pt>
                <c:pt idx="2">
                  <c:v>110.69858849836072</c:v>
                </c:pt>
              </c:numCache>
            </c:numRef>
          </c:val>
        </c:ser>
        <c:ser>
          <c:idx val="2"/>
          <c:order val="2"/>
          <c:tx>
            <c:strRef>
              <c:f>'Joseph Floyd SaaS Dashboard'!$B$46</c:f>
              <c:strCache>
                <c:ptCount val="1"/>
                <c:pt idx="0">
                  <c:v>CLV (MRR)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Dashboard'!$Q$46:$S$46</c:f>
              <c:numCache>
                <c:formatCode>"$"#,##0_);\("$"#,##0\)</c:formatCode>
                <c:ptCount val="3"/>
                <c:pt idx="0">
                  <c:v>297.82504613256106</c:v>
                </c:pt>
                <c:pt idx="1">
                  <c:v>515.63995543099304</c:v>
                </c:pt>
                <c:pt idx="2">
                  <c:v>656.08953814944482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635968"/>
        <c:axId val="121637504"/>
      </c:barChart>
      <c:lineChart>
        <c:grouping val="standard"/>
        <c:varyColors val="0"/>
        <c:ser>
          <c:idx val="1"/>
          <c:order val="1"/>
          <c:tx>
            <c:strRef>
              <c:f>'Joseph Floyd SaaS Dashboard'!$B$45</c:f>
              <c:strCache>
                <c:ptCount val="1"/>
                <c:pt idx="0">
                  <c:v>Months to Payback (MRR)</c:v>
                </c:pt>
              </c:strCache>
            </c:strRef>
          </c:tx>
          <c:marker>
            <c:symbol val="none"/>
          </c:marker>
          <c:cat>
            <c:strRef>
              <c:f>'Joseph Floyd SaaS Dashboard'!$C$3:$N$3</c:f>
              <c:strCache>
                <c:ptCount val="12"/>
                <c:pt idx="0">
                  <c:v>2012 Q1</c:v>
                </c:pt>
                <c:pt idx="1">
                  <c:v>2012 Q2</c:v>
                </c:pt>
                <c:pt idx="2">
                  <c:v>2012 Q3</c:v>
                </c:pt>
                <c:pt idx="3">
                  <c:v>2012 Q4</c:v>
                </c:pt>
                <c:pt idx="4">
                  <c:v>2013 Q1</c:v>
                </c:pt>
                <c:pt idx="5">
                  <c:v>2013 Q2</c:v>
                </c:pt>
                <c:pt idx="6">
                  <c:v>2013 Q3</c:v>
                </c:pt>
                <c:pt idx="7">
                  <c:v>2013 Q4</c:v>
                </c:pt>
                <c:pt idx="8">
                  <c:v>2014 Q1</c:v>
                </c:pt>
                <c:pt idx="9">
                  <c:v>2014 Q2</c:v>
                </c:pt>
                <c:pt idx="10">
                  <c:v>2014 Q3</c:v>
                </c:pt>
                <c:pt idx="11">
                  <c:v>2014 Q4</c:v>
                </c:pt>
              </c:strCache>
            </c:strRef>
          </c:cat>
          <c:val>
            <c:numRef>
              <c:f>'Joseph Floyd SaaS Dashboard'!$Q$45:$S$45</c:f>
              <c:numCache>
                <c:formatCode>#,##0.0_);\(#,##0.0\)</c:formatCode>
                <c:ptCount val="3"/>
                <c:pt idx="0">
                  <c:v>22.964530901580964</c:v>
                </c:pt>
                <c:pt idx="1">
                  <c:v>18.816360334733609</c:v>
                </c:pt>
                <c:pt idx="2">
                  <c:v>15.82119496731608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640832"/>
        <c:axId val="121639296"/>
      </c:lineChart>
      <c:catAx>
        <c:axId val="1216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37504"/>
        <c:crosses val="autoZero"/>
        <c:auto val="1"/>
        <c:lblAlgn val="ctr"/>
        <c:lblOffset val="100"/>
        <c:noMultiLvlLbl val="0"/>
      </c:catAx>
      <c:valAx>
        <c:axId val="121637504"/>
        <c:scaling>
          <c:orientation val="minMax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crossAx val="121635968"/>
        <c:crosses val="autoZero"/>
        <c:crossBetween val="between"/>
      </c:valAx>
      <c:valAx>
        <c:axId val="121639296"/>
        <c:scaling>
          <c:orientation val="minMax"/>
        </c:scaling>
        <c:delete val="0"/>
        <c:axPos val="r"/>
        <c:numFmt formatCode="#,##0_);\(#,##0\)" sourceLinked="0"/>
        <c:majorTickMark val="out"/>
        <c:minorTickMark val="none"/>
        <c:tickLblPos val="nextTo"/>
        <c:crossAx val="121640832"/>
        <c:crosses val="max"/>
        <c:crossBetween val="between"/>
      </c:valAx>
      <c:catAx>
        <c:axId val="12164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6392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Customer Count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Existing Customers</c:v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Dashboard'!$Q$13:$S$13</c:f>
              <c:numCache>
                <c:formatCode>#,##0_);\(#,##0\)</c:formatCode>
                <c:ptCount val="3"/>
                <c:pt idx="0">
                  <c:v>72</c:v>
                </c:pt>
                <c:pt idx="1">
                  <c:v>110</c:v>
                </c:pt>
                <c:pt idx="2">
                  <c:v>142</c:v>
                </c:pt>
              </c:numCache>
            </c:numRef>
          </c:val>
        </c:ser>
        <c:ser>
          <c:idx val="1"/>
          <c:order val="1"/>
          <c:tx>
            <c:v>New Customers</c:v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Dashboard'!$Q$14:$S$14</c:f>
              <c:numCache>
                <c:formatCode>#,##0_);\(#,##0\)</c:formatCode>
                <c:ptCount val="3"/>
                <c:pt idx="0">
                  <c:v>48</c:v>
                </c:pt>
                <c:pt idx="1">
                  <c:v>47</c:v>
                </c:pt>
                <c:pt idx="2">
                  <c:v>61</c:v>
                </c:pt>
              </c:numCache>
            </c:numRef>
          </c:val>
        </c:ser>
        <c:ser>
          <c:idx val="3"/>
          <c:order val="2"/>
          <c:tx>
            <c:strRef>
              <c:f>'Joseph Floyd SaaS Dashboard'!$B$16</c:f>
              <c:strCache>
                <c:ptCount val="1"/>
                <c:pt idx="0">
                  <c:v>Ending Customers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'Joseph Floyd SaaS Dashboard'!$Q$3:$S$3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'Joseph Floyd SaaS Dashboard'!$Q$16:$S$16</c:f>
              <c:numCache>
                <c:formatCode>#,##0_);\(#,##0\)</c:formatCode>
                <c:ptCount val="3"/>
                <c:pt idx="0">
                  <c:v>110</c:v>
                </c:pt>
                <c:pt idx="1">
                  <c:v>142</c:v>
                </c:pt>
                <c:pt idx="2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19424"/>
        <c:axId val="121721216"/>
      </c:barChart>
      <c:lineChart>
        <c:grouping val="standard"/>
        <c:varyColors val="0"/>
        <c:ser>
          <c:idx val="2"/>
          <c:order val="3"/>
          <c:tx>
            <c:strRef>
              <c:f>'Joseph Floyd SaaS Dashboard'!$B$39</c:f>
              <c:strCache>
                <c:ptCount val="1"/>
                <c:pt idx="0">
                  <c:v>Annual Customer Churn</c:v>
                </c:pt>
              </c:strCache>
            </c:strRef>
          </c:tx>
          <c:marker>
            <c:symbol val="none"/>
          </c:marker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'Joseph Floyd SaaS Dashboard'!$C$39:$N$39</c:f>
              <c:numCache>
                <c:formatCode>0%</c:formatCode>
                <c:ptCount val="12"/>
                <c:pt idx="0">
                  <c:v>0.17737569926697572</c:v>
                </c:pt>
                <c:pt idx="1">
                  <c:v>0.10517667472886627</c:v>
                </c:pt>
                <c:pt idx="2">
                  <c:v>9.6318855645590506E-2</c:v>
                </c:pt>
                <c:pt idx="3">
                  <c:v>0.1268339122083173</c:v>
                </c:pt>
                <c:pt idx="4">
                  <c:v>0.15358251485554275</c:v>
                </c:pt>
                <c:pt idx="5">
                  <c:v>0.10471811898596384</c:v>
                </c:pt>
                <c:pt idx="6">
                  <c:v>9.8693767000375132E-2</c:v>
                </c:pt>
                <c:pt idx="7">
                  <c:v>0.1565837035531692</c:v>
                </c:pt>
                <c:pt idx="8">
                  <c:v>8.7223000418586771E-2</c:v>
                </c:pt>
                <c:pt idx="9">
                  <c:v>0.14113705943799992</c:v>
                </c:pt>
                <c:pt idx="10">
                  <c:v>0.10381289062499977</c:v>
                </c:pt>
                <c:pt idx="11">
                  <c:v>0.14611371987489497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24288"/>
        <c:axId val="121722752"/>
      </c:lineChart>
      <c:catAx>
        <c:axId val="1217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721216"/>
        <c:crosses val="autoZero"/>
        <c:auto val="1"/>
        <c:lblAlgn val="ctr"/>
        <c:lblOffset val="100"/>
        <c:noMultiLvlLbl val="0"/>
      </c:catAx>
      <c:valAx>
        <c:axId val="121721216"/>
        <c:scaling>
          <c:orientation val="minMax"/>
          <c:max val="250"/>
        </c:scaling>
        <c:delete val="0"/>
        <c:axPos val="l"/>
        <c:numFmt formatCode="#,##0_);\(#,##0\)" sourceLinked="1"/>
        <c:majorTickMark val="out"/>
        <c:minorTickMark val="none"/>
        <c:tickLblPos val="nextTo"/>
        <c:crossAx val="121719424"/>
        <c:crosses val="autoZero"/>
        <c:crossBetween val="between"/>
      </c:valAx>
      <c:valAx>
        <c:axId val="12172275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21724288"/>
        <c:crosses val="max"/>
        <c:crossBetween val="between"/>
      </c:valAx>
      <c:catAx>
        <c:axId val="12172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2172275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495300</xdr:colOff>
      <xdr:row>28</xdr:row>
      <xdr:rowOff>141684</xdr:rowOff>
    </xdr:from>
    <xdr:to>
      <xdr:col>29</xdr:col>
      <xdr:colOff>495300</xdr:colOff>
      <xdr:row>47</xdr:row>
      <xdr:rowOff>179784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495300</xdr:colOff>
      <xdr:row>8</xdr:row>
      <xdr:rowOff>85724</xdr:rowOff>
    </xdr:from>
    <xdr:to>
      <xdr:col>29</xdr:col>
      <xdr:colOff>495300</xdr:colOff>
      <xdr:row>27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20</xdr:col>
      <xdr:colOff>495300</xdr:colOff>
      <xdr:row>49</xdr:row>
      <xdr:rowOff>7143</xdr:rowOff>
    </xdr:from>
    <xdr:to>
      <xdr:col>29</xdr:col>
      <xdr:colOff>495300</xdr:colOff>
      <xdr:row>68</xdr:row>
      <xdr:rowOff>45243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20</xdr:col>
      <xdr:colOff>495300</xdr:colOff>
      <xdr:row>69</xdr:row>
      <xdr:rowOff>63102</xdr:rowOff>
    </xdr:from>
    <xdr:to>
      <xdr:col>29</xdr:col>
      <xdr:colOff>495300</xdr:colOff>
      <xdr:row>88</xdr:row>
      <xdr:rowOff>101202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20</xdr:col>
      <xdr:colOff>495300</xdr:colOff>
      <xdr:row>89</xdr:row>
      <xdr:rowOff>119062</xdr:rowOff>
    </xdr:from>
    <xdr:to>
      <xdr:col>29</xdr:col>
      <xdr:colOff>495300</xdr:colOff>
      <xdr:row>108</xdr:row>
      <xdr:rowOff>157162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29</xdr:col>
      <xdr:colOff>590550</xdr:colOff>
      <xdr:row>28</xdr:row>
      <xdr:rowOff>141684</xdr:rowOff>
    </xdr:from>
    <xdr:to>
      <xdr:col>38</xdr:col>
      <xdr:colOff>590550</xdr:colOff>
      <xdr:row>47</xdr:row>
      <xdr:rowOff>179784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29</xdr:col>
      <xdr:colOff>590550</xdr:colOff>
      <xdr:row>49</xdr:row>
      <xdr:rowOff>7143</xdr:rowOff>
    </xdr:from>
    <xdr:to>
      <xdr:col>38</xdr:col>
      <xdr:colOff>590550</xdr:colOff>
      <xdr:row>68</xdr:row>
      <xdr:rowOff>45243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29</xdr:col>
      <xdr:colOff>590550</xdr:colOff>
      <xdr:row>69</xdr:row>
      <xdr:rowOff>63102</xdr:rowOff>
    </xdr:from>
    <xdr:to>
      <xdr:col>38</xdr:col>
      <xdr:colOff>590550</xdr:colOff>
      <xdr:row>88</xdr:row>
      <xdr:rowOff>101202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29</xdr:col>
      <xdr:colOff>600075</xdr:colOff>
      <xdr:row>8</xdr:row>
      <xdr:rowOff>76200</xdr:rowOff>
    </xdr:from>
    <xdr:to>
      <xdr:col>38</xdr:col>
      <xdr:colOff>600075</xdr:colOff>
      <xdr:row>27</xdr:row>
      <xdr:rowOff>114300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29</xdr:col>
      <xdr:colOff>590550</xdr:colOff>
      <xdr:row>89</xdr:row>
      <xdr:rowOff>114300</xdr:rowOff>
    </xdr:from>
    <xdr:to>
      <xdr:col>38</xdr:col>
      <xdr:colOff>590550</xdr:colOff>
      <xdr:row>108</xdr:row>
      <xdr:rowOff>152400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Box%20Sync/My%20Folders/Knowledge/ECP%20Benchmarking%20Toolkit%20v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Dashboard"/>
      <sheetName val="Benchmarking Tool"/>
      <sheetName val="Companies--&gt;"/>
      <sheetName val="Coupa"/>
      <sheetName val="Replicon"/>
      <sheetName val="Lithium"/>
      <sheetName val="Intacct"/>
      <sheetName val="ServiceMax"/>
      <sheetName val="Veeva"/>
      <sheetName val="Yammer"/>
      <sheetName val="Hootsuite"/>
      <sheetName val="PagerDuty"/>
      <sheetName val="Percolate"/>
      <sheetName val="Insightly"/>
      <sheetName val="Trustnode"/>
      <sheetName val="Janrain"/>
      <sheetName val="Drivewyze"/>
      <sheetName val="Welltok"/>
      <sheetName val="Civitas"/>
      <sheetName val="Incomplete-&gt;"/>
      <sheetName val="InsideView"/>
      <sheetName val="Bill.com"/>
      <sheetName val="PivotLink"/>
      <sheetName val="YSI"/>
      <sheetName val="Zuberance"/>
      <sheetName val="Genius"/>
      <sheetName val="DAS"/>
      <sheetName val="Lotame"/>
      <sheetName val="EchoSign"/>
    </sheetNames>
    <sheetDataSet>
      <sheetData sheetId="0">
        <row r="2">
          <cell r="R2">
            <v>2009</v>
          </cell>
        </row>
      </sheetData>
      <sheetData sheetId="1">
        <row r="3">
          <cell r="E3" t="str">
            <v>Total Revenue</v>
          </cell>
          <cell r="I3" t="str">
            <v>S&amp;M Efficiency (New ACV)</v>
          </cell>
        </row>
        <row r="16">
          <cell r="BX16">
            <v>7</v>
          </cell>
        </row>
        <row r="17">
          <cell r="BM17" t="str">
            <v>Veeva</v>
          </cell>
          <cell r="BW17">
            <v>0</v>
          </cell>
          <cell r="BX17">
            <v>8701.9000000000015</v>
          </cell>
        </row>
        <row r="65">
          <cell r="BV65">
            <v>8</v>
          </cell>
        </row>
        <row r="66">
          <cell r="BM66" t="str">
            <v>Intacct</v>
          </cell>
        </row>
      </sheetData>
      <sheetData sheetId="2">
        <row r="3">
          <cell r="D3" t="str">
            <v>Beginning Free Customers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S74"/>
  <sheetViews>
    <sheetView showGridLines="0" tabSelected="1" zoomScaleNormal="100" workbookViewId="0">
      <pane xSplit="2" ySplit="8" topLeftCell="C63" activePane="bottomRight" state="frozen"/>
      <selection pane="topRight" activeCell="C1" sqref="C1"/>
      <selection pane="bottomLeft" activeCell="A9" sqref="A9"/>
      <selection pane="bottomRight" activeCell="K6" sqref="K6"/>
    </sheetView>
  </sheetViews>
  <sheetFormatPr defaultRowHeight="15"/>
  <cols>
    <col min="1" max="1" width="2.7109375" customWidth="1"/>
    <col min="2" max="2" width="34.28515625" customWidth="1"/>
    <col min="3" max="14" width="10.85546875" bestFit="1" customWidth="1"/>
    <col min="15" max="16" width="1.7109375" customWidth="1"/>
  </cols>
  <sheetData>
    <row r="2" spans="2:19">
      <c r="B2" s="1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9">
      <c r="B3" s="3">
        <v>2012</v>
      </c>
      <c r="C3" s="2" t="str">
        <f>+C7&amp;" "&amp;C8</f>
        <v>2012 Q1</v>
      </c>
      <c r="D3" s="2" t="str">
        <f>+C7&amp;" "&amp;D8</f>
        <v>2012 Q2</v>
      </c>
      <c r="E3" s="2" t="str">
        <f>+C7&amp;" "&amp;E8</f>
        <v>2012 Q3</v>
      </c>
      <c r="F3" s="2" t="str">
        <f>+C7&amp;" "&amp;F8</f>
        <v>2012 Q4</v>
      </c>
      <c r="G3" s="2" t="str">
        <f>+G7&amp;" "&amp;G8</f>
        <v>2013 Q1</v>
      </c>
      <c r="H3" s="2" t="str">
        <f>+G7&amp;" "&amp;H8</f>
        <v>2013 Q2</v>
      </c>
      <c r="I3" s="2" t="str">
        <f>+G7&amp;" "&amp;I8</f>
        <v>2013 Q3</v>
      </c>
      <c r="J3" s="2" t="str">
        <f>+G7&amp;" "&amp;J8</f>
        <v>2013 Q4</v>
      </c>
      <c r="K3" s="2" t="str">
        <f>+K7&amp;" "&amp;K8</f>
        <v>2014 Q1</v>
      </c>
      <c r="L3" s="2" t="str">
        <f>+K7&amp;" "&amp;L8</f>
        <v>2014 Q2</v>
      </c>
      <c r="M3" s="2" t="str">
        <f>+K7&amp;" "&amp;M8</f>
        <v>2014 Q3</v>
      </c>
      <c r="N3" s="2" t="str">
        <f>+K7&amp;" "&amp;N8</f>
        <v>2014 Q4</v>
      </c>
      <c r="Q3">
        <f>B3</f>
        <v>2012</v>
      </c>
      <c r="R3">
        <f>Q3+1</f>
        <v>2013</v>
      </c>
      <c r="S3">
        <f>R3+1</f>
        <v>2014</v>
      </c>
    </row>
    <row r="4" spans="2:19">
      <c r="B4" s="4"/>
    </row>
    <row r="5" spans="2:19">
      <c r="C5" s="5" t="str">
        <f>B2&amp;" Dashboard"</f>
        <v>Company Name Dashboard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5.0999999999999996" customHeight="1"/>
    <row r="7" spans="2:19">
      <c r="C7" s="6">
        <f>B3</f>
        <v>2012</v>
      </c>
      <c r="D7" s="6"/>
      <c r="E7" s="6"/>
      <c r="F7" s="7"/>
      <c r="G7" s="6">
        <f>C7+1</f>
        <v>2013</v>
      </c>
      <c r="H7" s="6"/>
      <c r="I7" s="6"/>
      <c r="J7" s="7"/>
      <c r="K7" s="6">
        <f>G7+1</f>
        <v>2014</v>
      </c>
      <c r="L7" s="6"/>
      <c r="M7" s="6"/>
      <c r="N7" s="6"/>
      <c r="O7" s="8"/>
      <c r="Q7" s="6" t="s">
        <v>0</v>
      </c>
      <c r="R7" s="6"/>
      <c r="S7" s="6"/>
    </row>
    <row r="8" spans="2:19">
      <c r="B8" t="s">
        <v>1</v>
      </c>
      <c r="C8" s="9" t="s">
        <v>2</v>
      </c>
      <c r="D8" s="10" t="s">
        <v>3</v>
      </c>
      <c r="E8" s="10" t="s">
        <v>4</v>
      </c>
      <c r="F8" s="10" t="s">
        <v>5</v>
      </c>
      <c r="G8" s="10" t="s">
        <v>2</v>
      </c>
      <c r="H8" s="10" t="s">
        <v>3</v>
      </c>
      <c r="I8" s="10" t="s">
        <v>4</v>
      </c>
      <c r="J8" s="10" t="s">
        <v>5</v>
      </c>
      <c r="K8" s="10" t="s">
        <v>2</v>
      </c>
      <c r="L8" s="10" t="s">
        <v>3</v>
      </c>
      <c r="M8" s="10" t="s">
        <v>4</v>
      </c>
      <c r="N8" s="11" t="s">
        <v>5</v>
      </c>
      <c r="O8" s="8"/>
      <c r="Q8" s="9">
        <f>C7</f>
        <v>2012</v>
      </c>
      <c r="R8" s="10">
        <f>Q8+1</f>
        <v>2013</v>
      </c>
      <c r="S8" s="11">
        <f>R8+1</f>
        <v>2014</v>
      </c>
    </row>
    <row r="9" spans="2:19">
      <c r="O9" s="8"/>
    </row>
    <row r="10" spans="2:19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2"/>
      <c r="Q10" s="12"/>
      <c r="R10" s="12"/>
      <c r="S10" s="12"/>
    </row>
    <row r="11" spans="2:19">
      <c r="O11" s="8"/>
    </row>
    <row r="12" spans="2:19">
      <c r="B12" s="14" t="s">
        <v>41</v>
      </c>
      <c r="O12" s="8"/>
    </row>
    <row r="13" spans="2:19">
      <c r="B13" t="s">
        <v>42</v>
      </c>
      <c r="C13" s="32">
        <v>72</v>
      </c>
      <c r="D13" s="15">
        <f>C16</f>
        <v>79</v>
      </c>
      <c r="E13" s="15">
        <f t="shared" ref="E13:N13" si="0">D16</f>
        <v>86</v>
      </c>
      <c r="F13" s="15">
        <f t="shared" si="0"/>
        <v>99</v>
      </c>
      <c r="G13" s="15">
        <f t="shared" si="0"/>
        <v>110</v>
      </c>
      <c r="H13" s="15">
        <f t="shared" si="0"/>
        <v>119</v>
      </c>
      <c r="I13" s="15">
        <f t="shared" si="0"/>
        <v>126</v>
      </c>
      <c r="J13" s="15">
        <f t="shared" si="0"/>
        <v>135</v>
      </c>
      <c r="K13" s="15">
        <f t="shared" si="0"/>
        <v>142</v>
      </c>
      <c r="L13" s="15">
        <f t="shared" si="0"/>
        <v>149</v>
      </c>
      <c r="M13" s="15">
        <f t="shared" si="0"/>
        <v>160</v>
      </c>
      <c r="N13" s="15">
        <f t="shared" si="0"/>
        <v>173</v>
      </c>
      <c r="O13" s="8"/>
      <c r="Q13" s="15">
        <f>C13</f>
        <v>72</v>
      </c>
      <c r="R13" s="15">
        <f>Q16</f>
        <v>110</v>
      </c>
      <c r="S13" s="15">
        <f>R16</f>
        <v>142</v>
      </c>
    </row>
    <row r="14" spans="2:19">
      <c r="B14" t="s">
        <v>43</v>
      </c>
      <c r="C14" s="32">
        <v>10</v>
      </c>
      <c r="D14" s="32">
        <v>9</v>
      </c>
      <c r="E14" s="32">
        <v>15</v>
      </c>
      <c r="F14" s="32">
        <v>14</v>
      </c>
      <c r="G14" s="32">
        <v>13</v>
      </c>
      <c r="H14" s="32">
        <v>10</v>
      </c>
      <c r="I14" s="32">
        <v>12</v>
      </c>
      <c r="J14" s="32">
        <v>12</v>
      </c>
      <c r="K14" s="32">
        <v>10</v>
      </c>
      <c r="L14" s="32">
        <v>16</v>
      </c>
      <c r="M14" s="32">
        <v>17</v>
      </c>
      <c r="N14" s="32">
        <v>18</v>
      </c>
      <c r="O14" s="8"/>
      <c r="Q14" s="16">
        <f>SUM(C14:F14)</f>
        <v>48</v>
      </c>
      <c r="R14" s="16">
        <f>SUM(G14:J14)</f>
        <v>47</v>
      </c>
      <c r="S14" s="16">
        <f>SUM(K14:N14)</f>
        <v>61</v>
      </c>
    </row>
    <row r="15" spans="2:19">
      <c r="B15" s="17" t="s">
        <v>44</v>
      </c>
      <c r="C15" s="33">
        <v>3</v>
      </c>
      <c r="D15" s="33">
        <v>2</v>
      </c>
      <c r="E15" s="33">
        <v>2</v>
      </c>
      <c r="F15" s="33">
        <v>3</v>
      </c>
      <c r="G15" s="33">
        <v>4</v>
      </c>
      <c r="H15" s="33">
        <v>3</v>
      </c>
      <c r="I15" s="33">
        <v>3</v>
      </c>
      <c r="J15" s="33">
        <v>5</v>
      </c>
      <c r="K15" s="33">
        <v>3</v>
      </c>
      <c r="L15" s="33">
        <v>5</v>
      </c>
      <c r="M15" s="33">
        <v>4</v>
      </c>
      <c r="N15" s="33">
        <v>6</v>
      </c>
      <c r="O15" s="8"/>
      <c r="Q15" s="18">
        <f>SUM(C15:F15)</f>
        <v>10</v>
      </c>
      <c r="R15" s="18">
        <f>SUM(G15:J15)</f>
        <v>15</v>
      </c>
      <c r="S15" s="18">
        <f>SUM(K15:N15)</f>
        <v>18</v>
      </c>
    </row>
    <row r="16" spans="2:19">
      <c r="B16" t="s">
        <v>45</v>
      </c>
      <c r="C16" s="16">
        <f>C13+C14-C15</f>
        <v>79</v>
      </c>
      <c r="D16" s="16">
        <f t="shared" ref="D16:N16" si="1">D13+D14-D15</f>
        <v>86</v>
      </c>
      <c r="E16" s="16">
        <f t="shared" si="1"/>
        <v>99</v>
      </c>
      <c r="F16" s="16">
        <f t="shared" si="1"/>
        <v>110</v>
      </c>
      <c r="G16" s="16">
        <f t="shared" si="1"/>
        <v>119</v>
      </c>
      <c r="H16" s="16">
        <f t="shared" si="1"/>
        <v>126</v>
      </c>
      <c r="I16" s="16">
        <f t="shared" si="1"/>
        <v>135</v>
      </c>
      <c r="J16" s="16">
        <f t="shared" si="1"/>
        <v>142</v>
      </c>
      <c r="K16" s="16">
        <f t="shared" si="1"/>
        <v>149</v>
      </c>
      <c r="L16" s="16">
        <f t="shared" si="1"/>
        <v>160</v>
      </c>
      <c r="M16" s="16">
        <f t="shared" si="1"/>
        <v>173</v>
      </c>
      <c r="N16" s="16">
        <f t="shared" si="1"/>
        <v>185</v>
      </c>
      <c r="O16" s="8"/>
      <c r="Q16" s="16">
        <f t="shared" ref="Q16" si="2">Q13+Q14-Q15</f>
        <v>110</v>
      </c>
      <c r="R16" s="16">
        <f t="shared" ref="R16" si="3">R13+R14-R15</f>
        <v>142</v>
      </c>
      <c r="S16" s="16">
        <f t="shared" ref="S16" si="4">S13+S14-S15</f>
        <v>185</v>
      </c>
    </row>
    <row r="17" spans="2:19">
      <c r="O17" s="8"/>
    </row>
    <row r="18" spans="2:19">
      <c r="B18" s="14" t="s">
        <v>7</v>
      </c>
      <c r="O18" s="8"/>
    </row>
    <row r="19" spans="2:19">
      <c r="B19" t="s">
        <v>25</v>
      </c>
      <c r="C19" s="34">
        <v>570</v>
      </c>
      <c r="D19" s="34">
        <v>541.53407437237195</v>
      </c>
      <c r="E19" s="34">
        <v>1103.0016726146821</v>
      </c>
      <c r="F19" s="34">
        <v>1107.049960197468</v>
      </c>
      <c r="G19" s="34">
        <v>1160.9796834815452</v>
      </c>
      <c r="H19" s="34">
        <v>1000.655234976</v>
      </c>
      <c r="I19" s="34">
        <v>1282.5918944999855</v>
      </c>
      <c r="J19" s="34">
        <v>1204.3842916941599</v>
      </c>
      <c r="K19" s="34">
        <v>1139.07692</v>
      </c>
      <c r="L19" s="34">
        <v>1686.7</v>
      </c>
      <c r="M19" s="34">
        <v>1919.2520000000029</v>
      </c>
      <c r="N19" s="34">
        <v>2107.4880000000021</v>
      </c>
      <c r="O19" s="8"/>
      <c r="Q19" s="19">
        <f>SUM(C19:F19)</f>
        <v>3321.5857071845221</v>
      </c>
      <c r="R19" s="19">
        <f>SUM(G19:J19)</f>
        <v>4648.6111046516908</v>
      </c>
      <c r="S19" s="19">
        <f>SUM(K19:N19)</f>
        <v>6852.5169200000055</v>
      </c>
    </row>
    <row r="20" spans="2:19">
      <c r="B20" t="s">
        <v>26</v>
      </c>
      <c r="C20" s="34">
        <v>169.20000000000002</v>
      </c>
      <c r="D20" s="34">
        <v>185.65</v>
      </c>
      <c r="E20" s="34">
        <v>202.10000000000002</v>
      </c>
      <c r="F20" s="34">
        <v>232.65</v>
      </c>
      <c r="G20" s="34">
        <v>259.77147884851439</v>
      </c>
      <c r="H20" s="34">
        <v>269.2017244945585</v>
      </c>
      <c r="I20" s="34">
        <v>382.68028099926664</v>
      </c>
      <c r="J20" s="34">
        <v>417.9683933131746</v>
      </c>
      <c r="K20" s="34">
        <v>461.38520651947351</v>
      </c>
      <c r="L20" s="34">
        <v>441.90373499074417</v>
      </c>
      <c r="M20" s="34">
        <v>598.59250803529358</v>
      </c>
      <c r="N20" s="34">
        <v>628.41821858526646</v>
      </c>
      <c r="O20" s="8"/>
      <c r="Q20" s="19">
        <f>SUM(C20:F20)</f>
        <v>789.6</v>
      </c>
      <c r="R20" s="19">
        <f>SUM(G20:J20)</f>
        <v>1329.6218776555143</v>
      </c>
      <c r="S20" s="19">
        <f>SUM(K20:N20)</f>
        <v>2130.2996681307777</v>
      </c>
    </row>
    <row r="21" spans="2:19">
      <c r="B21" t="s">
        <v>27</v>
      </c>
      <c r="C21" s="34">
        <v>846</v>
      </c>
      <c r="D21" s="34">
        <v>928.25</v>
      </c>
      <c r="E21" s="34">
        <v>1010.5</v>
      </c>
      <c r="F21" s="34">
        <v>1163.25</v>
      </c>
      <c r="G21" s="34">
        <v>1298.8573942425719</v>
      </c>
      <c r="H21" s="34">
        <v>1346.0086224727925</v>
      </c>
      <c r="I21" s="34">
        <v>1913.4014049963332</v>
      </c>
      <c r="J21" s="34">
        <v>2089.841966565873</v>
      </c>
      <c r="K21" s="34">
        <v>2306.9260325973673</v>
      </c>
      <c r="L21" s="34">
        <v>2209.5186749537206</v>
      </c>
      <c r="M21" s="34">
        <v>2992.9625401764679</v>
      </c>
      <c r="N21" s="34">
        <v>3142.0910929263318</v>
      </c>
      <c r="O21" s="8"/>
      <c r="Q21" s="19">
        <f>SUM(C21:F21)</f>
        <v>3948</v>
      </c>
      <c r="R21" s="19">
        <f>SUM(G21:J21)</f>
        <v>6648.1093882775704</v>
      </c>
      <c r="S21" s="19">
        <f>SUM(K21:N21)</f>
        <v>10651.498340653889</v>
      </c>
    </row>
    <row r="22" spans="2:19">
      <c r="B22" s="17" t="s">
        <v>46</v>
      </c>
      <c r="C22" s="35">
        <v>114</v>
      </c>
      <c r="D22" s="35">
        <v>108.3068148744744</v>
      </c>
      <c r="E22" s="35">
        <v>220.60033452293644</v>
      </c>
      <c r="F22" s="35">
        <v>221.4099920394936</v>
      </c>
      <c r="G22" s="35">
        <v>232.19593669630905</v>
      </c>
      <c r="H22" s="35">
        <v>200.13104699519999</v>
      </c>
      <c r="I22" s="35">
        <v>256.51837889999712</v>
      </c>
      <c r="J22" s="35">
        <v>240.87685833883199</v>
      </c>
      <c r="K22" s="35">
        <v>227.81538399999999</v>
      </c>
      <c r="L22" s="35">
        <v>337.34000000000003</v>
      </c>
      <c r="M22" s="35">
        <v>383.8504000000006</v>
      </c>
      <c r="N22" s="35">
        <v>421.49760000000043</v>
      </c>
      <c r="O22" s="8"/>
      <c r="Q22" s="20">
        <f>SUM(C22:F22)</f>
        <v>664.31714143690442</v>
      </c>
      <c r="R22" s="20">
        <f>SUM(G22:J22)</f>
        <v>929.72222093033815</v>
      </c>
      <c r="S22" s="20">
        <f>SUM(K22:N22)</f>
        <v>1370.503384000001</v>
      </c>
    </row>
    <row r="23" spans="2:19">
      <c r="B23" t="s">
        <v>28</v>
      </c>
      <c r="C23" s="19">
        <f>SUM(C19:C22)</f>
        <v>1699.2</v>
      </c>
      <c r="D23" s="19">
        <f t="shared" ref="D23:N23" si="5">SUM(D19:D22)</f>
        <v>1763.7408892468463</v>
      </c>
      <c r="E23" s="19">
        <f t="shared" si="5"/>
        <v>2536.2020071376187</v>
      </c>
      <c r="F23" s="19">
        <f t="shared" si="5"/>
        <v>2724.3599522369618</v>
      </c>
      <c r="G23" s="19">
        <f t="shared" si="5"/>
        <v>2951.8044932689409</v>
      </c>
      <c r="H23" s="19">
        <f t="shared" si="5"/>
        <v>2815.9966289385507</v>
      </c>
      <c r="I23" s="19">
        <f t="shared" si="5"/>
        <v>3835.1919593955822</v>
      </c>
      <c r="J23" s="19">
        <f t="shared" si="5"/>
        <v>3953.0715099120393</v>
      </c>
      <c r="K23" s="19">
        <f t="shared" si="5"/>
        <v>4135.2035431168406</v>
      </c>
      <c r="L23" s="19">
        <f t="shared" si="5"/>
        <v>4675.4624099444645</v>
      </c>
      <c r="M23" s="19">
        <f t="shared" si="5"/>
        <v>5894.6574482117649</v>
      </c>
      <c r="N23" s="19">
        <f t="shared" si="5"/>
        <v>6299.4949115116015</v>
      </c>
      <c r="O23" s="8"/>
      <c r="Q23" s="19">
        <f>SUM(Q19:Q22)</f>
        <v>8723.5028486214269</v>
      </c>
      <c r="R23" s="19">
        <f t="shared" ref="R23:S23" si="6">SUM(R19:R22)</f>
        <v>13556.064591515113</v>
      </c>
      <c r="S23" s="19">
        <f t="shared" si="6"/>
        <v>21004.818312784671</v>
      </c>
    </row>
    <row r="24" spans="2:19">
      <c r="B24" t="s">
        <v>58</v>
      </c>
      <c r="C24" s="19">
        <f>SUM(C19:C21)</f>
        <v>1585.2</v>
      </c>
      <c r="D24" s="19">
        <f t="shared" ref="D24:N24" si="7">SUM(D19:D21)</f>
        <v>1655.4340743723719</v>
      </c>
      <c r="E24" s="19">
        <f t="shared" si="7"/>
        <v>2315.6016726146822</v>
      </c>
      <c r="F24" s="19">
        <f t="shared" si="7"/>
        <v>2502.949960197468</v>
      </c>
      <c r="G24" s="19">
        <f t="shared" si="7"/>
        <v>2719.6085565726316</v>
      </c>
      <c r="H24" s="19">
        <f t="shared" si="7"/>
        <v>2615.8655819433507</v>
      </c>
      <c r="I24" s="19">
        <f t="shared" si="7"/>
        <v>3578.6735804955852</v>
      </c>
      <c r="J24" s="19">
        <f t="shared" si="7"/>
        <v>3712.1946515732075</v>
      </c>
      <c r="K24" s="19">
        <f t="shared" si="7"/>
        <v>3907.3881591168411</v>
      </c>
      <c r="L24" s="19">
        <f t="shared" si="7"/>
        <v>4338.1224099444644</v>
      </c>
      <c r="M24" s="19">
        <f t="shared" si="7"/>
        <v>5510.8070482117646</v>
      </c>
      <c r="N24" s="19">
        <f t="shared" si="7"/>
        <v>5877.9973115116009</v>
      </c>
      <c r="O24" s="8"/>
      <c r="Q24" s="19">
        <f t="shared" ref="Q24:S24" si="8">SUM(Q19:Q21)</f>
        <v>8059.1857071845225</v>
      </c>
      <c r="R24" s="19">
        <f t="shared" si="8"/>
        <v>12626.342370584774</v>
      </c>
      <c r="S24" s="19">
        <f t="shared" si="8"/>
        <v>19634.314928784672</v>
      </c>
    </row>
    <row r="25" spans="2:19">
      <c r="O25" s="8"/>
    </row>
    <row r="26" spans="2:19">
      <c r="B26" s="14" t="s">
        <v>8</v>
      </c>
      <c r="D26" s="21"/>
      <c r="E26" s="19"/>
      <c r="G26" s="21"/>
      <c r="O26" s="8"/>
    </row>
    <row r="27" spans="2:19">
      <c r="B27" s="22" t="s">
        <v>29</v>
      </c>
      <c r="C27" s="34">
        <v>296.25</v>
      </c>
      <c r="D27" s="19">
        <f>C31</f>
        <v>343.02500000000003</v>
      </c>
      <c r="E27" s="19">
        <f t="shared" ref="E27:N27" si="9">D31</f>
        <v>387.5981049581581</v>
      </c>
      <c r="F27" s="19">
        <f t="shared" si="9"/>
        <v>483.32656094990148</v>
      </c>
      <c r="G27" s="19">
        <f t="shared" si="9"/>
        <v>574.17634993937406</v>
      </c>
      <c r="H27" s="19">
        <f t="shared" si="9"/>
        <v>669.78044128397175</v>
      </c>
      <c r="I27" s="19">
        <f t="shared" si="9"/>
        <v>767.08711178622491</v>
      </c>
      <c r="J27" s="19">
        <f t="shared" si="9"/>
        <v>878.81119505595461</v>
      </c>
      <c r="K27" s="19">
        <f t="shared" si="9"/>
        <v>982.37024302445661</v>
      </c>
      <c r="L27" s="19">
        <f t="shared" si="9"/>
        <v>1090.1128562010792</v>
      </c>
      <c r="M27" s="19">
        <f t="shared" si="9"/>
        <v>1237.9644695336412</v>
      </c>
      <c r="N27" s="19">
        <f t="shared" si="9"/>
        <v>1419.9156922620728</v>
      </c>
      <c r="O27" s="8"/>
      <c r="Q27" s="23">
        <f>C27</f>
        <v>296.25</v>
      </c>
      <c r="R27" s="23">
        <f>Q31</f>
        <v>574.17634993937406</v>
      </c>
      <c r="S27" s="23">
        <f>R31</f>
        <v>982.37024302445661</v>
      </c>
    </row>
    <row r="28" spans="2:19">
      <c r="B28" t="s">
        <v>30</v>
      </c>
      <c r="C28" s="34">
        <v>47.5</v>
      </c>
      <c r="D28" s="34">
        <v>45.127839531030993</v>
      </c>
      <c r="E28" s="34">
        <v>91.916806051223503</v>
      </c>
      <c r="F28" s="34">
        <v>92.254163349788996</v>
      </c>
      <c r="G28" s="34">
        <v>96.748306956795446</v>
      </c>
      <c r="H28" s="34">
        <v>83.387936247999988</v>
      </c>
      <c r="I28" s="34">
        <v>106.88265787499881</v>
      </c>
      <c r="J28" s="34">
        <v>100.36535764117998</v>
      </c>
      <c r="K28" s="34">
        <v>94.923076666666674</v>
      </c>
      <c r="L28" s="34">
        <v>140.55833333333334</v>
      </c>
      <c r="M28" s="34">
        <v>159.9376666666669</v>
      </c>
      <c r="N28" s="34">
        <v>175.62400000000017</v>
      </c>
      <c r="O28" s="8"/>
      <c r="Q28" s="23">
        <f t="shared" ref="Q28:Q30" si="10">SUM(C28:F28)</f>
        <v>276.79880893204347</v>
      </c>
      <c r="R28" s="23">
        <f t="shared" ref="R28:R30" si="11">SUM(G28:J28)</f>
        <v>387.38425872097423</v>
      </c>
      <c r="S28" s="23">
        <f t="shared" ref="S28:S30" si="12">SUM(K28:N28)</f>
        <v>571.04307666666705</v>
      </c>
    </row>
    <row r="29" spans="2:19">
      <c r="B29" t="s">
        <v>31</v>
      </c>
      <c r="C29" s="34">
        <v>-11.824999999999999</v>
      </c>
      <c r="D29" s="34">
        <f>-8.0255679062062</f>
        <v>-8.0255679062062004</v>
      </c>
      <c r="E29" s="34">
        <v>-9.0300167261467994</v>
      </c>
      <c r="F29" s="34">
        <v>-15.791874360316401</v>
      </c>
      <c r="G29" s="34">
        <v>-19.791838849573999</v>
      </c>
      <c r="H29" s="34">
        <v>-12.514742786959999</v>
      </c>
      <c r="I29" s="34">
        <v>-17.0485980218747</v>
      </c>
      <c r="J29" s="34">
        <v>-27.637009115442499</v>
      </c>
      <c r="K29" s="34">
        <v>-25.629230700000001</v>
      </c>
      <c r="L29" s="34">
        <v>-29.532031249999999</v>
      </c>
      <c r="M29" s="34">
        <v>-27.869152941176502</v>
      </c>
      <c r="N29" s="34">
        <v>-42.687200000000097</v>
      </c>
      <c r="O29" s="8"/>
      <c r="Q29" s="23">
        <f t="shared" si="10"/>
        <v>-44.672458992669398</v>
      </c>
      <c r="R29" s="23">
        <f t="shared" si="11"/>
        <v>-76.992188773851197</v>
      </c>
      <c r="S29" s="23">
        <f t="shared" si="12"/>
        <v>-125.71761489117659</v>
      </c>
    </row>
    <row r="30" spans="2:19">
      <c r="B30" s="17" t="s">
        <v>32</v>
      </c>
      <c r="C30" s="35">
        <v>11.1</v>
      </c>
      <c r="D30" s="35">
        <v>7.4708333333333004</v>
      </c>
      <c r="E30" s="35">
        <v>12.841666666666701</v>
      </c>
      <c r="F30" s="35">
        <v>14.387499999999999</v>
      </c>
      <c r="G30" s="35">
        <v>18.647623237376202</v>
      </c>
      <c r="H30" s="35">
        <v>26.433477041213202</v>
      </c>
      <c r="I30" s="35">
        <v>21.890023416605601</v>
      </c>
      <c r="J30" s="35">
        <v>30.830699442764502</v>
      </c>
      <c r="K30" s="35">
        <v>38.448767209956124</v>
      </c>
      <c r="L30" s="35">
        <v>36.825311249228683</v>
      </c>
      <c r="M30" s="35">
        <v>49.882709002941134</v>
      </c>
      <c r="N30" s="35">
        <v>52.368184882105538</v>
      </c>
      <c r="O30" s="8"/>
      <c r="Q30" s="24">
        <f t="shared" si="10"/>
        <v>45.8</v>
      </c>
      <c r="R30" s="24">
        <f t="shared" si="11"/>
        <v>97.801823137959502</v>
      </c>
      <c r="S30" s="24">
        <f t="shared" si="12"/>
        <v>177.52497234423149</v>
      </c>
    </row>
    <row r="31" spans="2:19">
      <c r="B31" t="s">
        <v>33</v>
      </c>
      <c r="C31" s="19">
        <f>+SUM(C27:C30)</f>
        <v>343.02500000000003</v>
      </c>
      <c r="D31" s="19">
        <f t="shared" ref="D31:N31" si="13">+SUM(D27:D30)</f>
        <v>387.5981049581581</v>
      </c>
      <c r="E31" s="19">
        <f t="shared" si="13"/>
        <v>483.32656094990148</v>
      </c>
      <c r="F31" s="19">
        <f t="shared" si="13"/>
        <v>574.17634993937406</v>
      </c>
      <c r="G31" s="19">
        <f t="shared" si="13"/>
        <v>669.78044128397175</v>
      </c>
      <c r="H31" s="19">
        <f t="shared" si="13"/>
        <v>767.08711178622491</v>
      </c>
      <c r="I31" s="19">
        <f t="shared" si="13"/>
        <v>878.81119505595461</v>
      </c>
      <c r="J31" s="19">
        <f t="shared" si="13"/>
        <v>982.37024302445661</v>
      </c>
      <c r="K31" s="19">
        <f t="shared" si="13"/>
        <v>1090.1128562010792</v>
      </c>
      <c r="L31" s="19">
        <f t="shared" si="13"/>
        <v>1237.9644695336412</v>
      </c>
      <c r="M31" s="19">
        <f t="shared" si="13"/>
        <v>1419.9156922620728</v>
      </c>
      <c r="N31" s="19">
        <f t="shared" si="13"/>
        <v>1605.2206771441784</v>
      </c>
      <c r="O31" s="8"/>
      <c r="Q31" s="19">
        <f t="shared" ref="Q31" si="14">+SUM(Q27:Q30)</f>
        <v>574.17634993937406</v>
      </c>
      <c r="R31" s="19">
        <f t="shared" ref="R31" si="15">+SUM(R27:R30)</f>
        <v>982.37024302445661</v>
      </c>
      <c r="S31" s="19">
        <f t="shared" ref="S31" si="16">+SUM(S27:S30)</f>
        <v>1605.2206771441786</v>
      </c>
    </row>
    <row r="32" spans="2:19">
      <c r="B32" t="s">
        <v>34</v>
      </c>
      <c r="C32" s="19">
        <f>+C31*12</f>
        <v>4116.3</v>
      </c>
      <c r="D32" s="19">
        <f t="shared" ref="D32:N32" si="17">+D31*12</f>
        <v>4651.1772594978975</v>
      </c>
      <c r="E32" s="19">
        <f t="shared" si="17"/>
        <v>5799.9187313988177</v>
      </c>
      <c r="F32" s="19">
        <f t="shared" si="17"/>
        <v>6890.1161992724883</v>
      </c>
      <c r="G32" s="19">
        <f t="shared" si="17"/>
        <v>8037.3652954076606</v>
      </c>
      <c r="H32" s="19">
        <f t="shared" si="17"/>
        <v>9205.0453414346994</v>
      </c>
      <c r="I32" s="19">
        <f t="shared" si="17"/>
        <v>10545.734340671455</v>
      </c>
      <c r="J32" s="19">
        <f t="shared" si="17"/>
        <v>11788.442916293479</v>
      </c>
      <c r="K32" s="19">
        <f t="shared" si="17"/>
        <v>13081.354274412952</v>
      </c>
      <c r="L32" s="19">
        <f t="shared" si="17"/>
        <v>14855.573634403696</v>
      </c>
      <c r="M32" s="19">
        <f t="shared" si="17"/>
        <v>17038.988307144871</v>
      </c>
      <c r="N32" s="19">
        <f t="shared" si="17"/>
        <v>19262.648125730142</v>
      </c>
      <c r="O32" s="8"/>
      <c r="Q32" s="19">
        <f t="shared" ref="Q32" si="18">+Q31*12</f>
        <v>6890.1161992724883</v>
      </c>
      <c r="R32" s="19">
        <f t="shared" ref="R32" si="19">+R31*12</f>
        <v>11788.442916293479</v>
      </c>
      <c r="S32" s="19">
        <f t="shared" ref="S32" si="20">+S31*12</f>
        <v>19262.648125730142</v>
      </c>
    </row>
    <row r="33" spans="2:19">
      <c r="C33" s="21"/>
      <c r="O33" s="8"/>
    </row>
    <row r="34" spans="2:19">
      <c r="B34" t="s">
        <v>9</v>
      </c>
      <c r="C34" s="19">
        <f t="shared" ref="C34:N34" si="21">C19/C14</f>
        <v>57</v>
      </c>
      <c r="D34" s="19">
        <f t="shared" si="21"/>
        <v>60.170452708041324</v>
      </c>
      <c r="E34" s="19">
        <f t="shared" si="21"/>
        <v>73.533444840978802</v>
      </c>
      <c r="F34" s="19">
        <f t="shared" si="21"/>
        <v>79.074997156961999</v>
      </c>
      <c r="G34" s="19">
        <f t="shared" si="21"/>
        <v>89.306129498580404</v>
      </c>
      <c r="H34" s="19">
        <f t="shared" si="21"/>
        <v>100.0655234976</v>
      </c>
      <c r="I34" s="19">
        <f t="shared" si="21"/>
        <v>106.8826578749988</v>
      </c>
      <c r="J34" s="19">
        <f t="shared" si="21"/>
        <v>100.36535764117998</v>
      </c>
      <c r="K34" s="19">
        <f t="shared" si="21"/>
        <v>113.907692</v>
      </c>
      <c r="L34" s="19">
        <f t="shared" si="21"/>
        <v>105.41875</v>
      </c>
      <c r="M34" s="19">
        <f t="shared" si="21"/>
        <v>112.89717647058841</v>
      </c>
      <c r="N34" s="19">
        <f t="shared" si="21"/>
        <v>117.08266666666678</v>
      </c>
      <c r="O34" s="8"/>
      <c r="Q34" s="19">
        <f>+Q19/Q14</f>
        <v>69.199702233010882</v>
      </c>
      <c r="R34" s="19">
        <f>+R19/R14</f>
        <v>98.90661924790831</v>
      </c>
      <c r="S34" s="19">
        <f>+S19/S14</f>
        <v>112.33634295081976</v>
      </c>
    </row>
    <row r="35" spans="2:19">
      <c r="B35" t="s">
        <v>10</v>
      </c>
      <c r="C35" s="19">
        <f t="shared" ref="C35:N35" si="22">C28/C14</f>
        <v>4.75</v>
      </c>
      <c r="D35" s="19">
        <f t="shared" si="22"/>
        <v>5.0142043923367767</v>
      </c>
      <c r="E35" s="19">
        <f t="shared" si="22"/>
        <v>6.1277870700815669</v>
      </c>
      <c r="F35" s="19">
        <f t="shared" si="22"/>
        <v>6.5895830964134996</v>
      </c>
      <c r="G35" s="19">
        <f t="shared" si="22"/>
        <v>7.442177458215034</v>
      </c>
      <c r="H35" s="19">
        <f t="shared" si="22"/>
        <v>8.3387936247999992</v>
      </c>
      <c r="I35" s="19">
        <f t="shared" si="22"/>
        <v>8.9068881562499005</v>
      </c>
      <c r="J35" s="19">
        <f t="shared" si="22"/>
        <v>8.3637798034316653</v>
      </c>
      <c r="K35" s="19">
        <f t="shared" si="22"/>
        <v>9.492307666666667</v>
      </c>
      <c r="L35" s="19">
        <f t="shared" si="22"/>
        <v>8.7848958333333336</v>
      </c>
      <c r="M35" s="19">
        <f t="shared" si="22"/>
        <v>9.4080980392156999</v>
      </c>
      <c r="N35" s="19">
        <f t="shared" si="22"/>
        <v>9.7568888888888985</v>
      </c>
      <c r="O35" s="8"/>
      <c r="Q35" s="19">
        <f>+(Q28/Q14)</f>
        <v>5.7666418527509054</v>
      </c>
      <c r="R35" s="19">
        <f>+(R28/R14)</f>
        <v>8.242218270659027</v>
      </c>
      <c r="S35" s="19">
        <f>+(S28/S14)</f>
        <v>9.361361912568313</v>
      </c>
    </row>
    <row r="36" spans="2:19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8"/>
    </row>
    <row r="37" spans="2:19">
      <c r="B37" s="12" t="s">
        <v>11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2"/>
      <c r="Q37" s="12"/>
      <c r="R37" s="12"/>
      <c r="S37" s="12"/>
    </row>
    <row r="38" spans="2:19">
      <c r="O38" s="8"/>
    </row>
    <row r="39" spans="2:19">
      <c r="B39" t="s">
        <v>54</v>
      </c>
      <c r="C39" s="25">
        <f>(1+C15/C13)^4-1</f>
        <v>0.17737569926697572</v>
      </c>
      <c r="D39" s="25">
        <f t="shared" ref="D39:N39" si="23">(1+D15/C16)^4-1</f>
        <v>0.10517667472886627</v>
      </c>
      <c r="E39" s="25">
        <f t="shared" si="23"/>
        <v>9.6318855645590506E-2</v>
      </c>
      <c r="F39" s="25">
        <f t="shared" si="23"/>
        <v>0.1268339122083173</v>
      </c>
      <c r="G39" s="25">
        <f t="shared" si="23"/>
        <v>0.15358251485554275</v>
      </c>
      <c r="H39" s="25">
        <f t="shared" si="23"/>
        <v>0.10471811898596384</v>
      </c>
      <c r="I39" s="25">
        <f t="shared" si="23"/>
        <v>9.8693767000375132E-2</v>
      </c>
      <c r="J39" s="25">
        <f t="shared" si="23"/>
        <v>0.1565837035531692</v>
      </c>
      <c r="K39" s="25">
        <f t="shared" si="23"/>
        <v>8.7223000418586771E-2</v>
      </c>
      <c r="L39" s="25">
        <f t="shared" si="23"/>
        <v>0.14113705943799992</v>
      </c>
      <c r="M39" s="25">
        <f t="shared" si="23"/>
        <v>0.10381289062499977</v>
      </c>
      <c r="N39" s="25">
        <f t="shared" si="23"/>
        <v>0.14611371987489497</v>
      </c>
      <c r="O39" s="8"/>
      <c r="Q39" s="25">
        <f>Q15/Q13</f>
        <v>0.1388888888888889</v>
      </c>
      <c r="R39" s="25">
        <f>R15/R13</f>
        <v>0.13636363636363635</v>
      </c>
      <c r="S39" s="25">
        <f>S15/S13</f>
        <v>0.12676056338028169</v>
      </c>
    </row>
    <row r="40" spans="2:19">
      <c r="B40" t="s">
        <v>55</v>
      </c>
      <c r="C40" s="25">
        <f>(1+(-1*C29)/C27)^4-1</f>
        <v>0.16947890528404597</v>
      </c>
      <c r="D40" s="25">
        <f>(1+(-1*D29)/C31)^4-1</f>
        <v>9.6921699230283709E-2</v>
      </c>
      <c r="E40" s="25">
        <f t="shared" ref="E40:N40" si="24">(1+(-1*E29)/D31)^4-1</f>
        <v>9.6496962421686039E-2</v>
      </c>
      <c r="F40" s="25">
        <f t="shared" si="24"/>
        <v>0.13723913346024585</v>
      </c>
      <c r="G40" s="25">
        <f t="shared" si="24"/>
        <v>0.14517416983383247</v>
      </c>
      <c r="H40" s="25">
        <f t="shared" si="24"/>
        <v>7.686032980219637E-2</v>
      </c>
      <c r="I40" s="25">
        <f t="shared" si="24"/>
        <v>9.1908344328134106E-2</v>
      </c>
      <c r="J40" s="25">
        <f t="shared" si="24"/>
        <v>0.13185201609831454</v>
      </c>
      <c r="K40" s="25">
        <f t="shared" si="24"/>
        <v>0.10851207012630715</v>
      </c>
      <c r="L40" s="25">
        <f t="shared" si="24"/>
        <v>0.11284674378163162</v>
      </c>
      <c r="M40" s="25">
        <f t="shared" si="24"/>
        <v>9.3134967523588852E-2</v>
      </c>
      <c r="N40" s="25">
        <f t="shared" si="24"/>
        <v>0.12578504774838817</v>
      </c>
      <c r="O40" s="8"/>
      <c r="Q40" s="25">
        <f>Q29/Q27*-1</f>
        <v>0.15079311052377856</v>
      </c>
      <c r="R40" s="25">
        <f t="shared" ref="R40:S40" si="25">R29/R27*-1</f>
        <v>0.1340915361316791</v>
      </c>
      <c r="S40" s="25">
        <f t="shared" si="25"/>
        <v>0.12797376120038562</v>
      </c>
    </row>
    <row r="41" spans="2:19">
      <c r="B41" t="s">
        <v>56</v>
      </c>
      <c r="C41" s="25">
        <f t="shared" ref="C41:N41" si="26">(1+(-C30-C29)/C27)^4-1</f>
        <v>9.825022611124723E-3</v>
      </c>
      <c r="D41" s="25">
        <f t="shared" si="26"/>
        <v>6.4844449954057914E-3</v>
      </c>
      <c r="E41" s="25">
        <f t="shared" si="26"/>
        <v>-3.8759651351866875E-2</v>
      </c>
      <c r="F41" s="25">
        <f t="shared" si="26"/>
        <v>1.167332611231986E-2</v>
      </c>
      <c r="G41" s="25">
        <f t="shared" si="26"/>
        <v>7.9950380318791758E-3</v>
      </c>
      <c r="H41" s="25">
        <f t="shared" si="26"/>
        <v>-8.0568761698768698E-2</v>
      </c>
      <c r="I41" s="25">
        <f t="shared" si="26"/>
        <v>-2.500776410980865E-2</v>
      </c>
      <c r="J41" s="25">
        <f t="shared" si="26"/>
        <v>-1.4457363247047161E-2</v>
      </c>
      <c r="K41" s="25">
        <f t="shared" si="26"/>
        <v>-5.1185498948421171E-2</v>
      </c>
      <c r="L41" s="25">
        <f t="shared" si="26"/>
        <v>-2.649418741962728E-2</v>
      </c>
      <c r="M41" s="25">
        <f t="shared" si="26"/>
        <v>-6.9253413547684217E-2</v>
      </c>
      <c r="N41" s="25">
        <f t="shared" si="26"/>
        <v>-2.6994353988129105E-2</v>
      </c>
      <c r="O41" s="8"/>
      <c r="Q41" s="25">
        <f>((-Q30-Q29)/Q27)</f>
        <v>-3.8060455943648916E-3</v>
      </c>
      <c r="R41" s="25">
        <f>((-R30-R29)/R27)</f>
        <v>-3.624258360050104E-2</v>
      </c>
      <c r="S41" s="25">
        <f>((-S30-S29)/S27)</f>
        <v>-5.2737099704439155E-2</v>
      </c>
    </row>
    <row r="42" spans="2:19">
      <c r="B42" t="s">
        <v>12</v>
      </c>
      <c r="C42" s="26">
        <f t="shared" ref="C42:N42" si="27">12*(1/C40)</f>
        <v>70.805272077300998</v>
      </c>
      <c r="D42" s="26">
        <f t="shared" si="27"/>
        <v>123.81128369910516</v>
      </c>
      <c r="E42" s="26">
        <f t="shared" si="27"/>
        <v>124.35624602939009</v>
      </c>
      <c r="F42" s="26">
        <f t="shared" si="27"/>
        <v>87.438616795668167</v>
      </c>
      <c r="G42" s="26">
        <f t="shared" si="27"/>
        <v>82.659332674230541</v>
      </c>
      <c r="H42" s="26">
        <f t="shared" si="27"/>
        <v>156.12735504625803</v>
      </c>
      <c r="I42" s="26">
        <f t="shared" si="27"/>
        <v>130.56485880277876</v>
      </c>
      <c r="J42" s="26">
        <f t="shared" si="27"/>
        <v>91.011122583459652</v>
      </c>
      <c r="K42" s="26">
        <f t="shared" si="27"/>
        <v>110.58677607046016</v>
      </c>
      <c r="L42" s="26">
        <f t="shared" si="27"/>
        <v>106.33891238564274</v>
      </c>
      <c r="M42" s="26">
        <f t="shared" si="27"/>
        <v>128.84526960253342</v>
      </c>
      <c r="N42" s="26">
        <f t="shared" si="27"/>
        <v>95.400846243696492</v>
      </c>
      <c r="O42" s="8"/>
      <c r="Q42" s="26">
        <f>12*(1/Q40)</f>
        <v>79.579232488262264</v>
      </c>
      <c r="R42" s="26">
        <f>12*(1/R40)</f>
        <v>89.491106942170404</v>
      </c>
      <c r="S42" s="26">
        <f>12*(1/S40)</f>
        <v>93.769221811102327</v>
      </c>
    </row>
    <row r="43" spans="2:19">
      <c r="B43" t="s">
        <v>13</v>
      </c>
      <c r="C43" s="25">
        <f t="shared" ref="C43:N43" si="28">C67/C19</f>
        <v>1.33</v>
      </c>
      <c r="D43" s="25">
        <f t="shared" si="28"/>
        <v>1.28</v>
      </c>
      <c r="E43" s="25">
        <f t="shared" si="28"/>
        <v>1.23</v>
      </c>
      <c r="F43" s="25">
        <f t="shared" si="28"/>
        <v>1.19</v>
      </c>
      <c r="G43" s="25">
        <f t="shared" si="28"/>
        <v>1.1499999999999999</v>
      </c>
      <c r="H43" s="25">
        <f t="shared" si="28"/>
        <v>1.1099999999999999</v>
      </c>
      <c r="I43" s="25">
        <f t="shared" si="28"/>
        <v>1.0799999999999998</v>
      </c>
      <c r="J43" s="25">
        <f t="shared" si="28"/>
        <v>1.0499999999999998</v>
      </c>
      <c r="K43" s="25">
        <f t="shared" si="28"/>
        <v>1.0199999999999998</v>
      </c>
      <c r="L43" s="25">
        <f t="shared" si="28"/>
        <v>0.99999999999999978</v>
      </c>
      <c r="M43" s="25">
        <f t="shared" si="28"/>
        <v>0.97999999999999976</v>
      </c>
      <c r="N43" s="25">
        <f t="shared" si="28"/>
        <v>0.95999999999999974</v>
      </c>
      <c r="O43" s="8"/>
      <c r="Q43" s="25">
        <f>Q67/Q19</f>
        <v>1.2419806347988085</v>
      </c>
      <c r="R43" s="25">
        <f>R67/R19</f>
        <v>1.0961675615469222</v>
      </c>
      <c r="S43" s="25">
        <f>S67/S19</f>
        <v>0.98542097410829865</v>
      </c>
    </row>
    <row r="44" spans="2:19">
      <c r="B44" t="s">
        <v>14</v>
      </c>
      <c r="C44" s="19">
        <f t="shared" ref="C44:N44" si="29">+C67/C14</f>
        <v>75.81</v>
      </c>
      <c r="D44" s="19">
        <f t="shared" si="29"/>
        <v>77.018179466292906</v>
      </c>
      <c r="E44" s="19">
        <f t="shared" si="29"/>
        <v>90.446137154403928</v>
      </c>
      <c r="F44" s="19">
        <f t="shared" si="29"/>
        <v>94.099246616784768</v>
      </c>
      <c r="G44" s="19">
        <f t="shared" si="29"/>
        <v>102.70204892336746</v>
      </c>
      <c r="H44" s="19">
        <f t="shared" si="29"/>
        <v>111.07273108233599</v>
      </c>
      <c r="I44" s="19">
        <f t="shared" si="29"/>
        <v>115.43327050499869</v>
      </c>
      <c r="J44" s="19">
        <f t="shared" si="29"/>
        <v>105.38362552323896</v>
      </c>
      <c r="K44" s="19">
        <f t="shared" si="29"/>
        <v>116.18584583999998</v>
      </c>
      <c r="L44" s="19">
        <f t="shared" si="29"/>
        <v>105.41874999999997</v>
      </c>
      <c r="M44" s="19">
        <f t="shared" si="29"/>
        <v>110.6392329411766</v>
      </c>
      <c r="N44" s="19">
        <f t="shared" si="29"/>
        <v>112.39936000000007</v>
      </c>
      <c r="O44" s="8"/>
      <c r="Q44" s="19">
        <f>+Q67/Q14</f>
        <v>85.944690107243375</v>
      </c>
      <c r="R44" s="19">
        <f>+R67/R14</f>
        <v>108.41822764182955</v>
      </c>
      <c r="S44" s="19">
        <f>+S67/S14</f>
        <v>110.69858849836072</v>
      </c>
    </row>
    <row r="45" spans="2:19">
      <c r="B45" t="s">
        <v>15</v>
      </c>
      <c r="C45" s="26">
        <f t="shared" ref="C45:N45" si="30">+C44/(C35*C64)</f>
        <v>24.802975538979773</v>
      </c>
      <c r="D45" s="26">
        <f t="shared" si="30"/>
        <v>24.373164199745098</v>
      </c>
      <c r="E45" s="26">
        <f t="shared" si="30"/>
        <v>22.675525929908346</v>
      </c>
      <c r="F45" s="26">
        <f t="shared" si="30"/>
        <v>21.37697549671255</v>
      </c>
      <c r="G45" s="26">
        <f t="shared" si="30"/>
        <v>20.568240935792357</v>
      </c>
      <c r="H45" s="26">
        <f t="shared" si="30"/>
        <v>19.141502971744334</v>
      </c>
      <c r="I45" s="26">
        <f t="shared" si="30"/>
        <v>18.697361923636016</v>
      </c>
      <c r="J45" s="26">
        <f t="shared" si="30"/>
        <v>17.3344063330483</v>
      </c>
      <c r="K45" s="26">
        <f t="shared" si="30"/>
        <v>16.654621248917682</v>
      </c>
      <c r="L45" s="26">
        <f t="shared" si="30"/>
        <v>16.207909433692489</v>
      </c>
      <c r="M45" s="26">
        <f t="shared" si="30"/>
        <v>15.69848967023816</v>
      </c>
      <c r="N45" s="26">
        <f t="shared" si="30"/>
        <v>15.141396400929089</v>
      </c>
      <c r="O45" s="8"/>
      <c r="Q45" s="26">
        <f>+Q44/(Q35*Q64)</f>
        <v>22.964530901580964</v>
      </c>
      <c r="R45" s="26">
        <f>+R44/(R35*R64)</f>
        <v>18.816360334733609</v>
      </c>
      <c r="S45" s="26">
        <f>+S44/(S35*S64)</f>
        <v>15.82119496731608</v>
      </c>
    </row>
    <row r="46" spans="2:19">
      <c r="B46" t="s">
        <v>16</v>
      </c>
      <c r="C46" s="27">
        <f t="shared" ref="C46:N46" si="31">+C35*C64*C42</f>
        <v>216.41547272198704</v>
      </c>
      <c r="D46" s="27">
        <f t="shared" si="31"/>
        <v>391.2384780959016</v>
      </c>
      <c r="E46" s="27">
        <f t="shared" si="31"/>
        <v>496.02122213826317</v>
      </c>
      <c r="F46" s="27">
        <f t="shared" si="31"/>
        <v>384.89579440044935</v>
      </c>
      <c r="G46" s="27">
        <f t="shared" si="31"/>
        <v>412.73742634494744</v>
      </c>
      <c r="H46" s="27">
        <f t="shared" si="31"/>
        <v>905.96290935189347</v>
      </c>
      <c r="I46" s="27">
        <f t="shared" si="31"/>
        <v>806.07781601401496</v>
      </c>
      <c r="J46" s="27">
        <f t="shared" si="31"/>
        <v>553.29740612456806</v>
      </c>
      <c r="K46" s="27">
        <f t="shared" si="31"/>
        <v>771.47465105518768</v>
      </c>
      <c r="L46" s="27">
        <f t="shared" si="31"/>
        <v>691.64473468433505</v>
      </c>
      <c r="M46" s="27">
        <f t="shared" si="31"/>
        <v>908.07090977352152</v>
      </c>
      <c r="N46" s="27">
        <f t="shared" si="31"/>
        <v>708.19056428586237</v>
      </c>
      <c r="O46" s="8"/>
      <c r="Q46" s="27">
        <f>+Q35*Q64*Q42</f>
        <v>297.82504613256106</v>
      </c>
      <c r="R46" s="27">
        <f>+R35*R64*R42</f>
        <v>515.63995543099304</v>
      </c>
      <c r="S46" s="27">
        <f>+S35*S64*S42</f>
        <v>656.08953814944482</v>
      </c>
    </row>
    <row r="47" spans="2:19">
      <c r="B47" t="s">
        <v>17</v>
      </c>
      <c r="C47" s="28">
        <f t="shared" ref="C47:F47" si="32">+C46/C44</f>
        <v>2.8547087814534633</v>
      </c>
      <c r="D47" s="28">
        <f t="shared" si="32"/>
        <v>5.0798198659983589</v>
      </c>
      <c r="E47" s="28">
        <f t="shared" si="32"/>
        <v>5.4841614881958654</v>
      </c>
      <c r="F47" s="28">
        <f t="shared" si="32"/>
        <v>4.0903174917852567</v>
      </c>
      <c r="G47" s="28">
        <f>+G46/G44</f>
        <v>4.0187847338169185</v>
      </c>
      <c r="H47" s="28">
        <f t="shared" ref="H47:N47" si="33">+H46/H44</f>
        <v>8.1564835988440887</v>
      </c>
      <c r="I47" s="28">
        <f t="shared" si="33"/>
        <v>6.9830631367159333</v>
      </c>
      <c r="J47" s="28">
        <f t="shared" si="33"/>
        <v>5.2503166727980535</v>
      </c>
      <c r="K47" s="28">
        <f t="shared" si="33"/>
        <v>6.6400054626067675</v>
      </c>
      <c r="L47" s="28">
        <f t="shared" si="33"/>
        <v>6.5609271091180199</v>
      </c>
      <c r="M47" s="28">
        <f t="shared" si="33"/>
        <v>8.2074946258558601</v>
      </c>
      <c r="N47" s="28">
        <f t="shared" si="33"/>
        <v>6.3006636718025968</v>
      </c>
      <c r="O47" s="8"/>
      <c r="Q47" s="28">
        <f t="shared" ref="Q47:S47" si="34">+Q46/Q44</f>
        <v>3.4653106057038481</v>
      </c>
      <c r="R47" s="28">
        <f t="shared" si="34"/>
        <v>4.756026423291674</v>
      </c>
      <c r="S47" s="28">
        <f t="shared" si="34"/>
        <v>5.9268103328992359</v>
      </c>
    </row>
    <row r="48" spans="2:19">
      <c r="O48" s="8"/>
    </row>
    <row r="49" spans="2:19">
      <c r="B49" s="12" t="s">
        <v>18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12"/>
      <c r="Q49" s="12"/>
      <c r="R49" s="12"/>
      <c r="S49" s="12"/>
    </row>
    <row r="50" spans="2:19">
      <c r="O50" s="8"/>
    </row>
    <row r="51" spans="2:19">
      <c r="B51" s="14" t="s">
        <v>19</v>
      </c>
      <c r="O51" s="8"/>
    </row>
    <row r="52" spans="2:19">
      <c r="B52" t="s">
        <v>47</v>
      </c>
      <c r="C52" s="34">
        <v>1577.5004300000001</v>
      </c>
      <c r="D52" s="34">
        <v>1666.89652</v>
      </c>
      <c r="E52" s="34">
        <v>1833.5235700000001</v>
      </c>
      <c r="F52" s="34">
        <v>1918.5254399999999</v>
      </c>
      <c r="G52" s="34">
        <v>2180.8757121553567</v>
      </c>
      <c r="H52" s="34">
        <v>2494.0268354725918</v>
      </c>
      <c r="I52" s="34">
        <v>2757.0907703955177</v>
      </c>
      <c r="J52" s="34">
        <v>3081.838258460009</v>
      </c>
      <c r="K52" s="34">
        <v>3389.0161478787782</v>
      </c>
      <c r="L52" s="34">
        <v>3684.8659103407531</v>
      </c>
      <c r="M52" s="34">
        <v>4149.7323555922321</v>
      </c>
      <c r="N52" s="34">
        <v>4564.5987277962804</v>
      </c>
      <c r="O52" s="8"/>
      <c r="Q52" s="23">
        <f t="shared" ref="Q52:Q53" si="35">SUM(C52:F52)</f>
        <v>6996.4459600000009</v>
      </c>
      <c r="R52" s="23">
        <f t="shared" ref="R52:R53" si="36">SUM(G52:J52)</f>
        <v>10513.831576483475</v>
      </c>
      <c r="S52" s="23">
        <f t="shared" ref="S52:S53" si="37">SUM(K52:N52)</f>
        <v>15788.213141608045</v>
      </c>
    </row>
    <row r="53" spans="2:19">
      <c r="B53" s="17" t="s">
        <v>48</v>
      </c>
      <c r="C53" s="35">
        <v>138</v>
      </c>
      <c r="D53" s="35">
        <v>142</v>
      </c>
      <c r="E53" s="35">
        <v>159</v>
      </c>
      <c r="F53" s="35">
        <v>174</v>
      </c>
      <c r="G53" s="35">
        <v>176.07928535922599</v>
      </c>
      <c r="H53" s="35">
        <v>195.62826953330335</v>
      </c>
      <c r="I53" s="35">
        <v>218.58432756348475</v>
      </c>
      <c r="J53" s="35">
        <v>227.56383865774995</v>
      </c>
      <c r="K53" s="35">
        <v>232.43055523258454</v>
      </c>
      <c r="L53" s="35">
        <v>231.33541705850729</v>
      </c>
      <c r="M53" s="35">
        <v>265.63765530970727</v>
      </c>
      <c r="N53" s="35">
        <v>247.47066058470801</v>
      </c>
      <c r="O53" s="8"/>
      <c r="Q53" s="24">
        <f t="shared" si="35"/>
        <v>613</v>
      </c>
      <c r="R53" s="24">
        <f t="shared" si="36"/>
        <v>817.85572111376405</v>
      </c>
      <c r="S53" s="24">
        <f t="shared" si="37"/>
        <v>976.87428818550711</v>
      </c>
    </row>
    <row r="54" spans="2:19">
      <c r="B54" t="s">
        <v>35</v>
      </c>
      <c r="C54" s="23">
        <f t="shared" ref="C54:N54" si="38">SUM(C52:C53)</f>
        <v>1715.5004300000001</v>
      </c>
      <c r="D54" s="23">
        <f t="shared" si="38"/>
        <v>1808.89652</v>
      </c>
      <c r="E54" s="23">
        <f t="shared" si="38"/>
        <v>1992.5235700000001</v>
      </c>
      <c r="F54" s="23">
        <f t="shared" si="38"/>
        <v>2092.5254399999999</v>
      </c>
      <c r="G54" s="23">
        <f t="shared" si="38"/>
        <v>2356.9549975145828</v>
      </c>
      <c r="H54" s="23">
        <f t="shared" si="38"/>
        <v>2689.6551050058952</v>
      </c>
      <c r="I54" s="23">
        <f t="shared" si="38"/>
        <v>2975.6750979590024</v>
      </c>
      <c r="J54" s="23">
        <f t="shared" si="38"/>
        <v>3309.4020971177588</v>
      </c>
      <c r="K54" s="23">
        <f t="shared" si="38"/>
        <v>3621.4467031113627</v>
      </c>
      <c r="L54" s="23">
        <f t="shared" si="38"/>
        <v>3916.2013273992602</v>
      </c>
      <c r="M54" s="23">
        <f t="shared" si="38"/>
        <v>4415.3700109019392</v>
      </c>
      <c r="N54" s="23">
        <f t="shared" si="38"/>
        <v>4812.0693883809881</v>
      </c>
      <c r="O54" s="8"/>
      <c r="Q54" s="23">
        <f>SUM(Q52:Q53)</f>
        <v>7609.4459600000009</v>
      </c>
      <c r="R54" s="23">
        <f>SUM(R52:R53)</f>
        <v>11331.68729759724</v>
      </c>
      <c r="S54" s="23">
        <f>SUM(S52:S53)</f>
        <v>16765.087429793552</v>
      </c>
    </row>
    <row r="55" spans="2:19">
      <c r="B55" s="29" t="s">
        <v>20</v>
      </c>
      <c r="C55" s="30"/>
      <c r="D55" s="25">
        <f>+D54/C54-1</f>
        <v>5.4442475423920555E-2</v>
      </c>
      <c r="E55" s="25">
        <f t="shared" ref="E55:N55" si="39">+E54/D54-1</f>
        <v>0.10151329717854729</v>
      </c>
      <c r="F55" s="25">
        <f t="shared" si="39"/>
        <v>5.0188550592653591E-2</v>
      </c>
      <c r="G55" s="25">
        <f t="shared" si="39"/>
        <v>0.12636862255523296</v>
      </c>
      <c r="H55" s="25">
        <f t="shared" si="39"/>
        <v>0.1411567500619002</v>
      </c>
      <c r="I55" s="25">
        <f t="shared" si="39"/>
        <v>0.10634076927587355</v>
      </c>
      <c r="J55" s="25">
        <f t="shared" si="39"/>
        <v>0.1121516926991315</v>
      </c>
      <c r="K55" s="25">
        <f t="shared" si="39"/>
        <v>9.4290327024743048E-2</v>
      </c>
      <c r="L55" s="25">
        <f t="shared" si="39"/>
        <v>8.1391401959514997E-2</v>
      </c>
      <c r="M55" s="25">
        <f t="shared" si="39"/>
        <v>0.12746246726650678</v>
      </c>
      <c r="N55" s="25">
        <f t="shared" si="39"/>
        <v>8.9845103920976666E-2</v>
      </c>
      <c r="O55" s="8"/>
      <c r="Q55" s="31"/>
      <c r="R55" s="25">
        <f t="shared" ref="R55" si="40">+R54/Q54-1</f>
        <v>0.48916062446118458</v>
      </c>
      <c r="S55" s="25">
        <f t="shared" ref="S55" si="41">+S54/R54-1</f>
        <v>0.47948729871397044</v>
      </c>
    </row>
    <row r="56" spans="2:19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8"/>
      <c r="Q56" s="30"/>
      <c r="R56" s="30"/>
      <c r="S56" s="30"/>
    </row>
    <row r="57" spans="2:19">
      <c r="B57" s="14" t="s">
        <v>21</v>
      </c>
      <c r="C57" s="30"/>
      <c r="D57" s="30"/>
      <c r="E57" s="30"/>
      <c r="F57" s="30"/>
      <c r="G57" s="31"/>
      <c r="H57" s="30"/>
      <c r="I57" s="30"/>
      <c r="J57" s="30"/>
      <c r="K57" s="30"/>
      <c r="L57" s="30"/>
      <c r="M57" s="30"/>
      <c r="N57" s="30"/>
      <c r="O57" s="8"/>
      <c r="Q57" s="30"/>
      <c r="R57" s="30"/>
      <c r="S57" s="30"/>
    </row>
    <row r="58" spans="2:19">
      <c r="B58" t="s">
        <v>50</v>
      </c>
      <c r="C58" s="34">
        <v>562.42436288730357</v>
      </c>
      <c r="D58" s="34">
        <v>616.41614997616148</v>
      </c>
      <c r="E58" s="34">
        <v>640.04263479024769</v>
      </c>
      <c r="F58" s="34">
        <v>636.93425852471751</v>
      </c>
      <c r="G58" s="34">
        <v>717.64485436374855</v>
      </c>
      <c r="H58" s="34">
        <v>758.50807827086305</v>
      </c>
      <c r="I58" s="34">
        <v>846.02457131018514</v>
      </c>
      <c r="J58" s="34">
        <v>841.71758108994356</v>
      </c>
      <c r="K58" s="34">
        <v>898.32260222207606</v>
      </c>
      <c r="L58" s="34">
        <v>956.66761277566206</v>
      </c>
      <c r="M58" s="34">
        <v>1041.0987528142978</v>
      </c>
      <c r="N58" s="34">
        <v>1091.7237067720289</v>
      </c>
      <c r="O58" s="8"/>
      <c r="Q58" s="23">
        <f t="shared" ref="Q58:Q59" si="42">SUM(C58:F58)</f>
        <v>2455.8174061784302</v>
      </c>
      <c r="R58" s="23">
        <f t="shared" ref="R58:R59" si="43">SUM(G58:J58)</f>
        <v>3163.8950850347401</v>
      </c>
      <c r="S58" s="23">
        <f t="shared" ref="S58:S59" si="44">SUM(K58:N58)</f>
        <v>3987.8126745840646</v>
      </c>
    </row>
    <row r="59" spans="2:19">
      <c r="B59" s="17" t="s">
        <v>49</v>
      </c>
      <c r="C59" s="35">
        <v>138</v>
      </c>
      <c r="D59" s="35">
        <v>142</v>
      </c>
      <c r="E59" s="35">
        <v>159</v>
      </c>
      <c r="F59" s="35">
        <v>174</v>
      </c>
      <c r="G59" s="35">
        <v>176.07928535922599</v>
      </c>
      <c r="H59" s="35">
        <v>195.62826953330335</v>
      </c>
      <c r="I59" s="35">
        <v>218.58432756348475</v>
      </c>
      <c r="J59" s="35">
        <v>227.56383865774995</v>
      </c>
      <c r="K59" s="35">
        <v>232.43055523258454</v>
      </c>
      <c r="L59" s="35">
        <v>231.33541705850729</v>
      </c>
      <c r="M59" s="35">
        <v>265.63765530970727</v>
      </c>
      <c r="N59" s="35">
        <v>247.47066058470801</v>
      </c>
      <c r="O59" s="8"/>
      <c r="Q59" s="24">
        <f t="shared" si="42"/>
        <v>613</v>
      </c>
      <c r="R59" s="24">
        <f t="shared" si="43"/>
        <v>817.85572111376405</v>
      </c>
      <c r="S59" s="24">
        <f t="shared" si="44"/>
        <v>976.87428818550711</v>
      </c>
    </row>
    <row r="60" spans="2:19">
      <c r="B60" t="s">
        <v>36</v>
      </c>
      <c r="C60" s="19">
        <f>+SUM(C58:C59)</f>
        <v>700.42436288730357</v>
      </c>
      <c r="D60" s="19">
        <f t="shared" ref="D60:N60" si="45">+SUM(D58:D59)</f>
        <v>758.41614997616148</v>
      </c>
      <c r="E60" s="19">
        <f t="shared" si="45"/>
        <v>799.04263479024769</v>
      </c>
      <c r="F60" s="19">
        <f t="shared" si="45"/>
        <v>810.93425852471751</v>
      </c>
      <c r="G60" s="19">
        <f t="shared" si="45"/>
        <v>893.72413972297454</v>
      </c>
      <c r="H60" s="19">
        <f t="shared" si="45"/>
        <v>954.13634780416646</v>
      </c>
      <c r="I60" s="19">
        <f t="shared" si="45"/>
        <v>1064.6088988736699</v>
      </c>
      <c r="J60" s="19">
        <f t="shared" si="45"/>
        <v>1069.2814197476935</v>
      </c>
      <c r="K60" s="19">
        <f t="shared" si="45"/>
        <v>1130.7531574546606</v>
      </c>
      <c r="L60" s="19">
        <f t="shared" si="45"/>
        <v>1188.0030298341694</v>
      </c>
      <c r="M60" s="19">
        <f t="shared" si="45"/>
        <v>1306.736408124005</v>
      </c>
      <c r="N60" s="19">
        <f t="shared" si="45"/>
        <v>1339.1943673567368</v>
      </c>
      <c r="O60" s="8"/>
      <c r="Q60" s="19">
        <f t="shared" ref="Q60:S60" si="46">+SUM(Q58:Q59)</f>
        <v>3068.8174061784302</v>
      </c>
      <c r="R60" s="19">
        <f t="shared" si="46"/>
        <v>3981.7508061485041</v>
      </c>
      <c r="S60" s="19">
        <f t="shared" si="46"/>
        <v>4964.6869627695714</v>
      </c>
    </row>
    <row r="61" spans="2:19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8"/>
      <c r="Q61" s="30"/>
      <c r="R61" s="30"/>
      <c r="S61" s="30"/>
    </row>
    <row r="62" spans="2:19">
      <c r="B62" t="s">
        <v>37</v>
      </c>
      <c r="C62" s="19">
        <f>+C54-C60</f>
        <v>1015.0760671126965</v>
      </c>
      <c r="D62" s="19">
        <f t="shared" ref="D62:N62" si="47">+D54-D60</f>
        <v>1050.4803700238385</v>
      </c>
      <c r="E62" s="19">
        <f t="shared" si="47"/>
        <v>1193.4809352097523</v>
      </c>
      <c r="F62" s="19">
        <f t="shared" si="47"/>
        <v>1281.5911814752824</v>
      </c>
      <c r="G62" s="19">
        <f t="shared" si="47"/>
        <v>1463.2308577916083</v>
      </c>
      <c r="H62" s="19">
        <f t="shared" si="47"/>
        <v>1735.5187572017287</v>
      </c>
      <c r="I62" s="19">
        <f t="shared" si="47"/>
        <v>1911.0661990853325</v>
      </c>
      <c r="J62" s="19">
        <f t="shared" si="47"/>
        <v>2240.1206773700651</v>
      </c>
      <c r="K62" s="19">
        <f t="shared" si="47"/>
        <v>2490.6935456567021</v>
      </c>
      <c r="L62" s="19">
        <f t="shared" si="47"/>
        <v>2728.1982975650908</v>
      </c>
      <c r="M62" s="19">
        <f t="shared" si="47"/>
        <v>3108.6336027779344</v>
      </c>
      <c r="N62" s="19">
        <f t="shared" si="47"/>
        <v>3472.8750210242515</v>
      </c>
      <c r="O62" s="8"/>
      <c r="Q62" s="19">
        <f t="shared" ref="Q62:S62" si="48">+Q54-Q60</f>
        <v>4540.6285538215707</v>
      </c>
      <c r="R62" s="19">
        <f t="shared" si="48"/>
        <v>7349.936491448736</v>
      </c>
      <c r="S62" s="19">
        <f t="shared" si="48"/>
        <v>11800.400467023981</v>
      </c>
    </row>
    <row r="63" spans="2:19">
      <c r="B63" s="29" t="s">
        <v>22</v>
      </c>
      <c r="C63" s="25">
        <f>+C62/C54</f>
        <v>0.5917084305905399</v>
      </c>
      <c r="D63" s="25">
        <f t="shared" ref="D63:N63" si="49">+D62/D54</f>
        <v>0.58072994138096878</v>
      </c>
      <c r="E63" s="25">
        <f t="shared" si="49"/>
        <v>0.59897958206323865</v>
      </c>
      <c r="F63" s="25">
        <f t="shared" si="49"/>
        <v>0.6124614578044425</v>
      </c>
      <c r="G63" s="25">
        <f t="shared" si="49"/>
        <v>0.62081408399167159</v>
      </c>
      <c r="H63" s="25">
        <f t="shared" si="49"/>
        <v>0.64525699000278502</v>
      </c>
      <c r="I63" s="25">
        <f t="shared" si="49"/>
        <v>0.64222945589594826</v>
      </c>
      <c r="J63" s="25">
        <f t="shared" si="49"/>
        <v>0.67689588984096016</v>
      </c>
      <c r="K63" s="25">
        <f t="shared" si="49"/>
        <v>0.6877620326475673</v>
      </c>
      <c r="L63" s="25">
        <f t="shared" si="49"/>
        <v>0.69664403575923428</v>
      </c>
      <c r="M63" s="25">
        <f t="shared" si="49"/>
        <v>0.70404826664638365</v>
      </c>
      <c r="N63" s="25">
        <f t="shared" si="49"/>
        <v>0.72170094417376929</v>
      </c>
      <c r="O63" s="8"/>
      <c r="Q63" s="25">
        <f t="shared" ref="Q63:S63" si="50">+Q62/Q54</f>
        <v>0.59670948156934811</v>
      </c>
      <c r="R63" s="25">
        <f t="shared" si="50"/>
        <v>0.648618012342011</v>
      </c>
      <c r="S63" s="25">
        <f t="shared" si="50"/>
        <v>0.70386751732969</v>
      </c>
    </row>
    <row r="64" spans="2:19">
      <c r="B64" s="29" t="s">
        <v>23</v>
      </c>
      <c r="C64" s="25">
        <f t="shared" ref="C64:N64" si="51">1-(C58/C52)</f>
        <v>0.64347118251669599</v>
      </c>
      <c r="D64" s="25">
        <f t="shared" si="51"/>
        <v>0.63020130969128096</v>
      </c>
      <c r="E64" s="25">
        <f t="shared" si="51"/>
        <v>0.65092205780029988</v>
      </c>
      <c r="F64" s="25">
        <f t="shared" si="51"/>
        <v>0.66800843749837502</v>
      </c>
      <c r="G64" s="25">
        <f t="shared" si="51"/>
        <v>0.67093729809366298</v>
      </c>
      <c r="H64" s="25">
        <f t="shared" si="51"/>
        <v>0.69587012157103201</v>
      </c>
      <c r="I64" s="25">
        <f t="shared" si="51"/>
        <v>0.69314591293313899</v>
      </c>
      <c r="J64" s="25">
        <f t="shared" si="51"/>
        <v>0.72687808038616897</v>
      </c>
      <c r="K64" s="25">
        <f t="shared" si="51"/>
        <v>0.73493115316539703</v>
      </c>
      <c r="L64" s="25">
        <f t="shared" si="51"/>
        <v>0.74037926045260205</v>
      </c>
      <c r="M64" s="25">
        <f>1-(M58/M52)</f>
        <v>0.749116650520533</v>
      </c>
      <c r="N64" s="25">
        <f t="shared" si="51"/>
        <v>0.76082810957205504</v>
      </c>
      <c r="O64" s="8"/>
      <c r="Q64" s="25">
        <f>1-(Q58/Q52)</f>
        <v>0.64899072754669995</v>
      </c>
      <c r="R64" s="25">
        <f>1-(R58/R52)</f>
        <v>0.69907306750932785</v>
      </c>
      <c r="S64" s="25">
        <f>1-(S58/S52)</f>
        <v>0.7474183659153526</v>
      </c>
    </row>
    <row r="65" spans="2:19">
      <c r="C65" s="3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8"/>
      <c r="Q65" s="30"/>
      <c r="R65" s="30"/>
      <c r="S65" s="30"/>
    </row>
    <row r="66" spans="2:19">
      <c r="B66" s="14" t="s">
        <v>24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8"/>
      <c r="Q66" s="30"/>
      <c r="R66" s="30"/>
      <c r="S66" s="30"/>
    </row>
    <row r="67" spans="2:19">
      <c r="B67" t="s">
        <v>51</v>
      </c>
      <c r="C67" s="34">
        <v>758.1</v>
      </c>
      <c r="D67" s="34">
        <v>693.1636151966361</v>
      </c>
      <c r="E67" s="34">
        <v>1356.6920573160589</v>
      </c>
      <c r="F67" s="34">
        <v>1317.3894526349868</v>
      </c>
      <c r="G67" s="34">
        <v>1335.1266360037769</v>
      </c>
      <c r="H67" s="34">
        <v>1110.7273108233599</v>
      </c>
      <c r="I67" s="34">
        <v>1385.1992460599843</v>
      </c>
      <c r="J67" s="34">
        <v>1264.6035062788676</v>
      </c>
      <c r="K67" s="34">
        <v>1161.8584583999998</v>
      </c>
      <c r="L67" s="34">
        <v>1686.6999999999996</v>
      </c>
      <c r="M67" s="34">
        <v>1880.8669600000023</v>
      </c>
      <c r="N67" s="34">
        <v>2023.1884800000014</v>
      </c>
      <c r="O67" s="8"/>
      <c r="Q67" s="23">
        <f t="shared" ref="Q67:Q69" si="52">SUM(C67:F67)</f>
        <v>4125.3451251476818</v>
      </c>
      <c r="R67" s="23">
        <f t="shared" ref="R67:R69" si="53">SUM(G67:J67)</f>
        <v>5095.6566991659884</v>
      </c>
      <c r="S67" s="23">
        <f t="shared" ref="S67:S69" si="54">SUM(K67:N67)</f>
        <v>6752.6138984000036</v>
      </c>
    </row>
    <row r="68" spans="2:19">
      <c r="B68" t="s">
        <v>52</v>
      </c>
      <c r="C68" s="34">
        <v>771.97519350000005</v>
      </c>
      <c r="D68" s="34">
        <v>795.91446880000001</v>
      </c>
      <c r="E68" s="34">
        <v>856.78513510000005</v>
      </c>
      <c r="F68" s="34">
        <v>878.86068479999994</v>
      </c>
      <c r="G68" s="34">
        <v>966.35154898097892</v>
      </c>
      <c r="H68" s="34">
        <v>1075.8620420023581</v>
      </c>
      <c r="I68" s="34">
        <v>1160.5132882040109</v>
      </c>
      <c r="J68" s="34">
        <v>1257.5727969047482</v>
      </c>
      <c r="K68" s="34">
        <v>1339.9352801512039</v>
      </c>
      <c r="L68" s="34">
        <v>1409.8324778637334</v>
      </c>
      <c r="M68" s="34">
        <v>1545.3795038156784</v>
      </c>
      <c r="N68" s="34">
        <v>1636.1035920495356</v>
      </c>
      <c r="O68" s="8"/>
      <c r="Q68" s="23">
        <f t="shared" si="52"/>
        <v>3303.5354821999999</v>
      </c>
      <c r="R68" s="23">
        <f t="shared" si="53"/>
        <v>4460.299676092096</v>
      </c>
      <c r="S68" s="23">
        <f t="shared" si="54"/>
        <v>5931.2508538801521</v>
      </c>
    </row>
    <row r="69" spans="2:19">
      <c r="B69" s="17" t="s">
        <v>53</v>
      </c>
      <c r="C69" s="35">
        <v>600.42515049999997</v>
      </c>
      <c r="D69" s="35">
        <v>615.02481679999994</v>
      </c>
      <c r="E69" s="35">
        <v>657.53277809999997</v>
      </c>
      <c r="F69" s="35">
        <v>669.60814079999989</v>
      </c>
      <c r="G69" s="35">
        <v>730.65604922952059</v>
      </c>
      <c r="H69" s="35">
        <v>806.89653150176832</v>
      </c>
      <c r="I69" s="35">
        <v>862.94577840811053</v>
      </c>
      <c r="J69" s="35">
        <v>926.63258719297221</v>
      </c>
      <c r="K69" s="35">
        <v>977.79060984006765</v>
      </c>
      <c r="L69" s="35">
        <v>1018.2123451238073</v>
      </c>
      <c r="M69" s="35">
        <v>1103.8425027254843</v>
      </c>
      <c r="N69" s="35">
        <v>1154.8966532114366</v>
      </c>
      <c r="O69" s="8"/>
      <c r="Q69" s="24">
        <f t="shared" si="52"/>
        <v>2542.5908862000001</v>
      </c>
      <c r="R69" s="24">
        <f t="shared" si="53"/>
        <v>3327.1309463323714</v>
      </c>
      <c r="S69" s="24">
        <f t="shared" si="54"/>
        <v>4254.7421109007955</v>
      </c>
    </row>
    <row r="70" spans="2:19">
      <c r="B70" t="s">
        <v>38</v>
      </c>
      <c r="C70" s="19">
        <f>+SUM(C67:C69)</f>
        <v>2130.500344</v>
      </c>
      <c r="D70" s="19">
        <f t="shared" ref="D70:N70" si="55">+SUM(D67:D69)</f>
        <v>2104.1029007966358</v>
      </c>
      <c r="E70" s="19">
        <f t="shared" si="55"/>
        <v>2871.0099705160592</v>
      </c>
      <c r="F70" s="19">
        <f t="shared" si="55"/>
        <v>2865.8582782349868</v>
      </c>
      <c r="G70" s="19">
        <f t="shared" si="55"/>
        <v>3032.1342342142766</v>
      </c>
      <c r="H70" s="19">
        <f t="shared" si="55"/>
        <v>2993.485884327486</v>
      </c>
      <c r="I70" s="19">
        <f t="shared" si="55"/>
        <v>3408.6583126721057</v>
      </c>
      <c r="J70" s="19">
        <f t="shared" si="55"/>
        <v>3448.8088903765879</v>
      </c>
      <c r="K70" s="19">
        <f t="shared" si="55"/>
        <v>3479.5843483912713</v>
      </c>
      <c r="L70" s="19">
        <f t="shared" si="55"/>
        <v>4114.7448229875408</v>
      </c>
      <c r="M70" s="19">
        <f t="shared" si="55"/>
        <v>4530.0889665411651</v>
      </c>
      <c r="N70" s="19">
        <f t="shared" si="55"/>
        <v>4814.1887252609731</v>
      </c>
      <c r="O70" s="8"/>
      <c r="Q70" s="19">
        <f t="shared" ref="Q70:S70" si="56">+SUM(Q67:Q69)</f>
        <v>9971.4714935476823</v>
      </c>
      <c r="R70" s="19">
        <f t="shared" si="56"/>
        <v>12883.087321590454</v>
      </c>
      <c r="S70" s="19">
        <f t="shared" si="56"/>
        <v>16938.60686318095</v>
      </c>
    </row>
    <row r="71" spans="2:19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8"/>
      <c r="Q71" s="19"/>
      <c r="R71" s="19"/>
      <c r="S71" s="19"/>
    </row>
    <row r="72" spans="2:19">
      <c r="B72" t="s">
        <v>39</v>
      </c>
      <c r="C72" s="19">
        <f t="shared" ref="C72:N72" si="57">+C62-C70</f>
        <v>-1115.4242768873037</v>
      </c>
      <c r="D72" s="19">
        <f t="shared" si="57"/>
        <v>-1053.6225307727973</v>
      </c>
      <c r="E72" s="19">
        <f t="shared" si="57"/>
        <v>-1677.5290353063069</v>
      </c>
      <c r="F72" s="19">
        <f t="shared" si="57"/>
        <v>-1584.2670967597044</v>
      </c>
      <c r="G72" s="19">
        <f t="shared" si="57"/>
        <v>-1568.9033764226683</v>
      </c>
      <c r="H72" s="19">
        <f t="shared" si="57"/>
        <v>-1257.9671271257573</v>
      </c>
      <c r="I72" s="19">
        <f t="shared" si="57"/>
        <v>-1497.5921135867732</v>
      </c>
      <c r="J72" s="19">
        <f t="shared" si="57"/>
        <v>-1208.6882130065228</v>
      </c>
      <c r="K72" s="19">
        <f t="shared" si="57"/>
        <v>-988.89080273456921</v>
      </c>
      <c r="L72" s="19">
        <f t="shared" si="57"/>
        <v>-1386.54652542245</v>
      </c>
      <c r="M72" s="19">
        <f t="shared" si="57"/>
        <v>-1421.4553637632307</v>
      </c>
      <c r="N72" s="19">
        <f t="shared" si="57"/>
        <v>-1341.3137042367216</v>
      </c>
      <c r="O72" s="8"/>
      <c r="Q72" s="19">
        <f t="shared" ref="Q72:S72" si="58">+Q62-Q70</f>
        <v>-5430.8429397261116</v>
      </c>
      <c r="R72" s="19">
        <f t="shared" si="58"/>
        <v>-5533.150830141718</v>
      </c>
      <c r="S72" s="19">
        <f t="shared" si="58"/>
        <v>-5138.2063961569693</v>
      </c>
    </row>
    <row r="73" spans="2:19">
      <c r="O73" s="8"/>
    </row>
    <row r="74" spans="2:19">
      <c r="B74" t="s">
        <v>57</v>
      </c>
      <c r="C74" s="34">
        <v>20000</v>
      </c>
      <c r="D74" s="34">
        <v>18946.377469227202</v>
      </c>
      <c r="E74" s="34">
        <v>17268.848433920895</v>
      </c>
      <c r="F74" s="34">
        <v>15684.581337161191</v>
      </c>
      <c r="G74" s="34">
        <v>14115.677960738523</v>
      </c>
      <c r="H74" s="34">
        <v>12857.710833612766</v>
      </c>
      <c r="I74" s="34">
        <v>11360.118720025992</v>
      </c>
      <c r="J74" s="34">
        <v>10151.43050701947</v>
      </c>
      <c r="K74" s="34">
        <v>9162.5397042848999</v>
      </c>
      <c r="L74" s="34">
        <v>7775.9931788624499</v>
      </c>
      <c r="M74" s="34">
        <v>6354.5378150992192</v>
      </c>
      <c r="N74" s="34">
        <v>5013.2241108624976</v>
      </c>
      <c r="O74" s="8"/>
      <c r="Q74" s="19">
        <f>F74</f>
        <v>15684.581337161191</v>
      </c>
      <c r="R74" s="19">
        <f>J74</f>
        <v>10151.43050701947</v>
      </c>
      <c r="S74" s="19">
        <f>N74</f>
        <v>5013.2241108624976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Joseph Floyd SaaS Dashboard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Floyd</dc:creator>
  <cp:lastModifiedBy>Joe</cp:lastModifiedBy>
  <dcterms:created xsi:type="dcterms:W3CDTF">2014-10-17T03:32:39Z</dcterms:created>
  <dcterms:modified xsi:type="dcterms:W3CDTF">2014-10-18T17:08:46Z</dcterms:modified>
</cp:coreProperties>
</file>